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IP/Relatorio de Gestao/Planilha de Fundamentos/2024/06 - Junho/"/>
    </mc:Choice>
  </mc:AlternateContent>
  <xr:revisionPtr revIDLastSave="489" documentId="8_{9624D927-BD25-4730-9A30-1D2A670B9A96}" xr6:coauthVersionLast="47" xr6:coauthVersionMax="47" xr10:uidLastSave="{BBE8387E-EF72-47EE-B418-762763FAFCC9}"/>
  <bookViews>
    <workbookView xWindow="28680" yWindow="-120" windowWidth="29040" windowHeight="15840" xr2:uid="{468758E2-3C6B-4BB3-8A93-301586E41774}"/>
  </bookViews>
  <sheets>
    <sheet name="VGIP" sheetId="2" r:id="rId1"/>
    <sheet name="Cadastro" sheetId="3" r:id="rId2"/>
  </sheets>
  <externalReferences>
    <externalReference r:id="rId3"/>
  </externalReferences>
  <definedNames>
    <definedName name="_xlnm._FilterDatabase" localSheetId="0" hidden="1">VGIP!$A$5:$O$55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VGIP!$A$1:$P$64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 l="1"/>
  <c r="AB22" i="2"/>
  <c r="AB30" i="2"/>
  <c r="AB38" i="2"/>
  <c r="AB43" i="2"/>
  <c r="AB46" i="2"/>
  <c r="AB47" i="2"/>
  <c r="AB49" i="2"/>
  <c r="AB54" i="2"/>
  <c r="AB55" i="2"/>
  <c r="AB6" i="2"/>
  <c r="AB7" i="2"/>
  <c r="AB8" i="2"/>
  <c r="AB9" i="2"/>
  <c r="AB10" i="2"/>
  <c r="AB11" i="2"/>
  <c r="AB12" i="2"/>
  <c r="AB13" i="2"/>
  <c r="AB15" i="2"/>
  <c r="AB16" i="2"/>
  <c r="AB17" i="2"/>
  <c r="AB18" i="2"/>
  <c r="AB19" i="2"/>
  <c r="AB20" i="2"/>
  <c r="AB21" i="2"/>
  <c r="AB23" i="2"/>
  <c r="AB24" i="2"/>
  <c r="AB25" i="2"/>
  <c r="AB26" i="2"/>
  <c r="AB27" i="2"/>
  <c r="AB28" i="2"/>
  <c r="AB29" i="2"/>
  <c r="AB31" i="2"/>
  <c r="AB32" i="2"/>
  <c r="AB33" i="2"/>
  <c r="AB34" i="2"/>
  <c r="AB35" i="2"/>
  <c r="AB36" i="2"/>
  <c r="AB37" i="2"/>
  <c r="AB39" i="2"/>
  <c r="AB40" i="2"/>
  <c r="AB41" i="2"/>
  <c r="AB42" i="2"/>
  <c r="AB44" i="2"/>
  <c r="AB45" i="2"/>
  <c r="AB48" i="2"/>
  <c r="AB50" i="2"/>
  <c r="AB51" i="2"/>
  <c r="AB52" i="2"/>
  <c r="AB53" i="2"/>
  <c r="K64" i="2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6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7" i="2"/>
  <c r="A8" i="2"/>
  <c r="A9" i="2"/>
  <c r="A10" i="2"/>
  <c r="A6" i="2"/>
  <c r="N54" i="2" l="1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5" i="2" l="1"/>
  <c r="G63" i="2" l="1"/>
  <c r="G60" i="2"/>
</calcChain>
</file>

<file path=xl/sharedStrings.xml><?xml version="1.0" encoding="utf-8"?>
<sst xmlns="http://schemas.openxmlformats.org/spreadsheetml/2006/main" count="510" uniqueCount="167">
  <si>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</si>
  <si>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</si>
  <si>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</si>
  <si>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</si>
  <si>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</si>
  <si>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</si>
  <si>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</si>
  <si>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</si>
  <si>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</si>
  <si>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</si>
  <si>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</si>
  <si>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</si>
  <si>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</si>
  <si>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</si>
  <si>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</si>
  <si>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</si>
  <si>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</si>
  <si>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</si>
  <si>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</si>
  <si>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</si>
  <si>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</si>
  <si>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</si>
  <si>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</si>
  <si>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</si>
  <si>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</si>
  <si>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</si>
  <si>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</si>
  <si>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</si>
  <si>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</si>
  <si>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</si>
  <si>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</si>
  <si>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</si>
  <si>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</si>
  <si>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</si>
  <si>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</si>
  <si>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</si>
  <si>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</si>
  <si>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</si>
  <si>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</si>
  <si>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</si>
  <si>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</si>
  <si>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</si>
  <si>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</si>
  <si>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</si>
  <si>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</si>
  <si>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</si>
  <si>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</si>
  <si>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</si>
  <si>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</si>
  <si>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</si>
  <si>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</si>
  <si>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</si>
  <si>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</si>
  <si>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</si>
  <si>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</si>
  <si>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</si>
  <si>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</si>
  <si>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</si>
  <si>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</si>
  <si>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</si>
  <si>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QTD VGHF</t>
  </si>
  <si>
    <t>QTD VALYOS</t>
  </si>
  <si>
    <t>QTD OUTROS FUNDOS VGI</t>
  </si>
  <si>
    <t>Total Integralizado</t>
  </si>
  <si>
    <t>QTD CARTEIRA VGIP</t>
  </si>
  <si>
    <t>QTD VGIR</t>
  </si>
  <si>
    <t>Total da Emissão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</si>
  <si>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</si>
  <si>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</si>
  <si>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</si>
  <si>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</si>
  <si>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</si>
  <si>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</si>
  <si>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</si>
  <si>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</si>
  <si>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</si>
  <si>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</si>
  <si>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</si>
  <si>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</si>
  <si>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</si>
  <si>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</si>
  <si>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</si>
  <si>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</si>
  <si>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</si>
  <si>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</si>
  <si>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</si>
  <si>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</si>
  <si>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</si>
  <si>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</si>
  <si>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</si>
  <si>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</si>
  <si>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</si>
  <si>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</si>
  <si>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</si>
  <si>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</si>
  <si>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</si>
  <si>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</si>
  <si>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</si>
  <si>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</si>
  <si>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</si>
  <si>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</si>
  <si>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</si>
  <si>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</si>
  <si>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</si>
  <si>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</si>
  <si>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</si>
  <si>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</si>
  <si>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</si>
  <si>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</si>
  <si>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</si>
  <si>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</si>
  <si>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QTD Infra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</si>
  <si>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</si>
  <si>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</si>
  <si>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</si>
  <si>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</si>
  <si>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</si>
  <si>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</si>
  <si>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</si>
  <si>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</si>
  <si>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</si>
  <si>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</si>
  <si>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</si>
  <si>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</si>
  <si>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A- Sr Rating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</si>
  <si>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</si>
  <si>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</si>
  <si>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</si>
  <si>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</si>
  <si>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</si>
  <si>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</si>
  <si>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</si>
  <si>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</si>
  <si>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</si>
  <si>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</si>
  <si>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</si>
  <si>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</si>
  <si>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QTD VGPR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</si>
  <si>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</si>
  <si>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</si>
  <si>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</si>
  <si>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</si>
  <si>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</si>
  <si>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</si>
  <si>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</si>
  <si>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</si>
  <si>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</si>
  <si>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</si>
  <si>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</si>
  <si>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</si>
  <si>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</si>
  <si>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</si>
  <si>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</si>
  <si>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</si>
  <si>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</si>
  <si>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</si>
  <si>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</si>
  <si>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</si>
  <si>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</si>
  <si>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</si>
  <si>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</si>
  <si>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</si>
  <si>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</si>
  <si>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</si>
  <si>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</si>
  <si>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QTD MGHT</t>
  </si>
  <si>
    <t>QTD VGRI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</si>
</sst>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_-* #,##0.0000_-;\-* #,##0.0000_-;_-* &quot;-&quot;????_-;_-@_-"/>
    <numFmt numFmtId="167" formatCode="0.0%"/>
    <numFmt numFmtId="168" formatCode="0.0"/>
    <numFmt numFmtId="169" formatCode="#,##0.00;\(#,##0.00\)"/>
    <numFmt numFmtId="170" formatCode="#,##0.0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b/>
      <sz val="8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164" fontId="2" fillId="0" borderId="0" xfId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vertical="center" wrapText="1" readingOrder="1"/>
    </xf>
    <xf numFmtId="4" fontId="3" fillId="0" borderId="0" xfId="0" applyNumberFormat="1" applyFont="1" applyAlignment="1">
      <alignment vertical="center" wrapText="1" readingOrder="1"/>
    </xf>
    <xf numFmtId="166" fontId="2" fillId="0" borderId="0" xfId="0" applyNumberFormat="1" applyFont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4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0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10" fontId="7" fillId="0" borderId="0" xfId="2" applyNumberFormat="1" applyFont="1" applyFill="1" applyBorder="1" applyAlignment="1">
      <alignment horizontal="center" vertical="center" wrapText="1"/>
    </xf>
    <xf numFmtId="10" fontId="7" fillId="0" borderId="0" xfId="3" applyNumberFormat="1" applyFont="1" applyFill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 readingOrder="1"/>
    </xf>
    <xf numFmtId="14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4" fontId="3" fillId="0" borderId="2" xfId="0" applyNumberFormat="1" applyFont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7" fontId="3" fillId="0" borderId="1" xfId="2" applyNumberFormat="1" applyFont="1" applyFill="1" applyBorder="1" applyAlignment="1">
      <alignment horizontal="center" vertical="center" wrapText="1" readingOrder="1"/>
    </xf>
    <xf numFmtId="170" fontId="3" fillId="0" borderId="1" xfId="0" applyNumberFormat="1" applyFont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0" fontId="7" fillId="0" borderId="3" xfId="2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6" fillId="2" borderId="4" xfId="4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 readingOrder="1"/>
    </xf>
    <xf numFmtId="167" fontId="11" fillId="0" borderId="1" xfId="2" applyNumberFormat="1" applyFont="1" applyBorder="1" applyAlignment="1">
      <alignment horizontal="center" vertical="center" wrapText="1" readingOrder="1"/>
    </xf>
    <xf numFmtId="3" fontId="2" fillId="0" borderId="0" xfId="0" applyNumberFormat="1" applyFont="1" applyAlignment="1">
      <alignment vertical="center"/>
    </xf>
    <xf numFmtId="1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left" vertical="center" wrapText="1" readingOrder="1"/>
    </xf>
    <xf numFmtId="168" fontId="5" fillId="0" borderId="1" xfId="0" applyNumberFormat="1" applyFont="1" applyBorder="1" applyAlignment="1">
      <alignment horizontal="center" vertical="center" wrapText="1" readingOrder="1"/>
    </xf>
    <xf numFmtId="167" fontId="11" fillId="0" borderId="1" xfId="2" applyNumberFormat="1" applyFont="1" applyFill="1" applyBorder="1" applyAlignment="1">
      <alignment horizontal="center" vertical="center" wrapText="1" readingOrder="1"/>
    </xf>
    <xf numFmtId="4" fontId="2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horizontal="center" vertical="center" wrapText="1" readingOrder="1"/>
    </xf>
    <xf numFmtId="10" fontId="6" fillId="0" borderId="1" xfId="0" applyNumberFormat="1" applyFont="1" applyBorder="1" applyAlignment="1">
      <alignment horizontal="center" vertical="center" wrapText="1" readingOrder="1"/>
    </xf>
    <xf numFmtId="10" fontId="3" fillId="0" borderId="1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Alignment="1">
      <alignment vertical="center"/>
    </xf>
    <xf numFmtId="169" fontId="3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4" fontId="6" fillId="0" borderId="1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/>
    </xf>
  </cellXfs>
  <cellStyles count="5">
    <cellStyle name="Comma" xfId="1" builtinId="3"/>
    <cellStyle name="Normal" xfId="0" builtinId="0"/>
    <cellStyle name="Normal_Novos modelos" xfId="4" xr:uid="{9BFAF1A0-E518-4C3B-9A75-0329658F2FDB}"/>
    <cellStyle name="Per cent" xfId="2" builtinId="5"/>
    <cellStyle name="Porcentagem 2" xfId="3" xr:uid="{4AB537FC-B8F8-4EB0-9752-6803B53B2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AE182"/>
  <sheetViews>
    <sheetView showGridLines="0" tabSelected="1" zoomScaleNormal="100" workbookViewId="0">
      <selection sqref="A1:J1"/>
    </sheetView>
  </sheetViews>
  <sheetFormatPr defaultColWidth="9.109375" defaultRowHeight="10.199999999999999" outlineLevelCol="1" x14ac:dyDescent="0.25"/>
  <cols>
    <col min="1" max="1" width="27.88671875" style="1" bestFit="1" customWidth="1"/>
    <col min="2" max="2" width="13.5546875" style="1" customWidth="1"/>
    <col min="3" max="3" width="12.88671875" style="2" bestFit="1" customWidth="1"/>
    <col min="4" max="4" width="10.5546875" style="2" customWidth="1"/>
    <col min="5" max="5" width="9.44140625" style="2" customWidth="1"/>
    <col min="6" max="6" width="19.6640625" style="2" customWidth="1"/>
    <col min="7" max="7" width="16.21875" style="2" customWidth="1"/>
    <col min="8" max="8" width="10.77734375" style="2" customWidth="1"/>
    <col min="9" max="9" width="15.21875" style="1" customWidth="1"/>
    <col min="10" max="10" width="11" style="1" customWidth="1"/>
    <col min="11" max="11" width="6.33203125" style="1" customWidth="1"/>
    <col min="12" max="12" width="7.88671875" style="1" customWidth="1"/>
    <col min="13" max="13" width="11.44140625" style="1" customWidth="1"/>
    <col min="14" max="14" width="11" style="1" customWidth="1"/>
    <col min="15" max="15" width="7.109375" style="1" customWidth="1"/>
    <col min="16" max="16" width="13.5546875" style="1" customWidth="1"/>
    <col min="17" max="17" width="1.88671875" style="1" customWidth="1"/>
    <col min="18" max="18" width="18.5546875" style="1" customWidth="1" outlineLevel="1"/>
    <col min="19" max="19" width="11.109375" style="1" customWidth="1" outlineLevel="1"/>
    <col min="20" max="22" width="11.33203125" style="1" customWidth="1" outlineLevel="1"/>
    <col min="23" max="23" width="13.5546875" style="1" bestFit="1" customWidth="1" outlineLevel="1"/>
    <col min="24" max="25" width="15.21875" style="1" customWidth="1" outlineLevel="1"/>
    <col min="26" max="26" width="37.21875" style="1" customWidth="1" outlineLevel="1"/>
    <col min="27" max="27" width="11.88671875" style="1" customWidth="1" outlineLevel="1"/>
    <col min="28" max="28" width="13.33203125" style="1" customWidth="1" outlineLevel="1"/>
    <col min="29" max="16384" width="9.109375" style="1"/>
  </cols>
  <sheetData>
    <row r="1" spans="1:31" ht="13.5" customHeight="1" x14ac:dyDescent="0.25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</row>
    <row r="2" spans="1:31" ht="12" x14ac:dyDescent="0.25">
      <c r="A2" s="59" t="s">
        <v>58</v>
      </c>
      <c r="B2" s="59"/>
      <c r="C2" s="59"/>
      <c r="D2" s="59"/>
      <c r="E2" s="59"/>
      <c r="F2" s="59"/>
      <c r="G2" s="59"/>
      <c r="H2" s="59"/>
      <c r="I2" s="59"/>
      <c r="J2" s="59"/>
    </row>
    <row r="5" spans="1:31" ht="20.399999999999999" x14ac:dyDescent="0.25">
      <c r="A5" s="34" t="s">
        <v>57</v>
      </c>
      <c r="B5" s="34" t="s">
        <v>56</v>
      </c>
      <c r="C5" s="34" t="s">
        <v>55</v>
      </c>
      <c r="D5" s="34" t="s">
        <v>54</v>
      </c>
      <c r="E5" s="34" t="s">
        <v>53</v>
      </c>
      <c r="F5" s="34" t="s">
        <v>52</v>
      </c>
      <c r="G5" s="34" t="s">
        <v>51</v>
      </c>
      <c r="H5" s="34" t="s">
        <v>50</v>
      </c>
      <c r="I5" s="34" t="s">
        <v>49</v>
      </c>
      <c r="J5" s="34" t="s">
        <v>48</v>
      </c>
      <c r="K5" s="34" t="s">
        <v>47</v>
      </c>
      <c r="L5" s="34" t="s">
        <v>46</v>
      </c>
      <c r="M5" s="35" t="s">
        <v>45</v>
      </c>
      <c r="N5" s="35" t="s">
        <v>44</v>
      </c>
      <c r="O5" s="36" t="s">
        <v>43</v>
      </c>
      <c r="R5" s="37" t="s">
        <v>64</v>
      </c>
      <c r="S5" s="37" t="s">
        <v>65</v>
      </c>
      <c r="T5" s="37" t="s">
        <v>60</v>
      </c>
      <c r="U5" s="37" t="s">
        <v>137</v>
      </c>
      <c r="V5" s="37" t="s">
        <v>166</v>
      </c>
      <c r="W5" s="37" t="s">
        <v>61</v>
      </c>
      <c r="X5" s="37" t="s">
        <v>111</v>
      </c>
      <c r="Y5" s="37" t="s">
        <v>165</v>
      </c>
      <c r="Z5" s="37" t="s">
        <v>62</v>
      </c>
      <c r="AA5" s="37" t="s">
        <v>66</v>
      </c>
      <c r="AB5" s="37" t="s">
        <v>63</v>
      </c>
    </row>
    <row r="6" spans="1:31" ht="12.75" customHeight="1" x14ac:dyDescent="0.25">
      <c r="A6" s="17" t="str">
        <f>VLOOKUP(C6,Cadastro!A:I,2,0)</f>
        <v>CRI CashMe 31E Sênior</v>
      </c>
      <c r="B6" s="17" t="str">
        <f>VLOOKUP(C6,Cadastro!A:I,3,0)</f>
        <v>Província</v>
      </c>
      <c r="C6" s="32" t="s">
        <v>131</v>
      </c>
      <c r="D6" s="15" t="str">
        <f>VLOOKUP(C6,Cadastro!A:I,4,0)</f>
        <v>Residencial</v>
      </c>
      <c r="E6" s="15" t="s">
        <v>133</v>
      </c>
      <c r="F6" s="14">
        <v>73870807.134900004</v>
      </c>
      <c r="G6" s="16">
        <v>6.9641418888004028E-2</v>
      </c>
      <c r="H6" s="15" t="str">
        <f>VLOOKUP(C6,Cadastro!A:I,5,0)</f>
        <v>IPCA +</v>
      </c>
      <c r="I6" s="16">
        <f>VLOOKUP(C6,Cadastro!A:I,6,0)</f>
        <v>0.09</v>
      </c>
      <c r="J6" s="31">
        <f>VLOOKUP(C6,Cadastro!A:I,7,0)</f>
        <v>47655</v>
      </c>
      <c r="K6" s="30">
        <v>2.6426055352860436</v>
      </c>
      <c r="L6" s="15" t="str">
        <f>VLOOKUP(C6,Cadastro!A:I,8,0)</f>
        <v>mensal</v>
      </c>
      <c r="M6" s="29">
        <v>0.30864197530864196</v>
      </c>
      <c r="N6" s="49">
        <f t="shared" ref="N6:N55" si="0">IFERROR(SUM(R6:Z6)/AA6,"")</f>
        <v>0.99485094488504899</v>
      </c>
      <c r="O6" s="33" t="str">
        <f>VLOOKUP(C6,Cadastro!A:I,9,0)</f>
        <v>ICVM 160</v>
      </c>
      <c r="R6" s="38">
        <v>96272</v>
      </c>
      <c r="S6" s="38">
        <v>0</v>
      </c>
      <c r="T6" s="38">
        <v>52500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149542</v>
      </c>
      <c r="AB6" s="38">
        <f>SUM(R6:Z6)</f>
        <v>148772</v>
      </c>
      <c r="AE6" s="40"/>
    </row>
    <row r="7" spans="1:31" ht="12.75" customHeight="1" x14ac:dyDescent="0.25">
      <c r="A7" s="17" t="str">
        <f>VLOOKUP(C7,Cadastro!A:I,2,0)</f>
        <v>CRI Tecnisa 397S</v>
      </c>
      <c r="B7" s="17" t="str">
        <f>VLOOKUP(C7,Cadastro!A:I,3,0)</f>
        <v>True Sec</v>
      </c>
      <c r="C7" s="32" t="s">
        <v>42</v>
      </c>
      <c r="D7" s="15" t="str">
        <f>VLOOKUP(C7,Cadastro!A:I,4,0)</f>
        <v>Residencial</v>
      </c>
      <c r="E7" s="15" t="s">
        <v>26</v>
      </c>
      <c r="F7" s="14">
        <v>71584843.668400005</v>
      </c>
      <c r="G7" s="16">
        <v>6.7486335635123379E-2</v>
      </c>
      <c r="H7" s="15" t="str">
        <f>VLOOKUP(C7,Cadastro!A:I,5,0)</f>
        <v>IPCA +</v>
      </c>
      <c r="I7" s="16">
        <f>VLOOKUP(C7,Cadastro!A:I,6,0)</f>
        <v>7.0000000000000007E-2</v>
      </c>
      <c r="J7" s="31">
        <f>VLOOKUP(C7,Cadastro!A:I,7,0)</f>
        <v>46933</v>
      </c>
      <c r="K7" s="30">
        <v>3.1980850694937324</v>
      </c>
      <c r="L7" s="15" t="str">
        <f>VLOOKUP(C7,Cadastro!A:I,8,0)</f>
        <v>mensal</v>
      </c>
      <c r="M7" s="29" t="s">
        <v>6</v>
      </c>
      <c r="N7" s="49">
        <f t="shared" si="0"/>
        <v>1</v>
      </c>
      <c r="O7" s="33" t="str">
        <f>VLOOKUP(C7,Cadastro!A:I,9,0)</f>
        <v>ICVM 476</v>
      </c>
      <c r="R7" s="38">
        <v>75135</v>
      </c>
      <c r="S7" s="38">
        <v>0</v>
      </c>
      <c r="T7" s="38">
        <v>17465</v>
      </c>
      <c r="U7" s="38">
        <v>4700</v>
      </c>
      <c r="V7" s="38">
        <v>0</v>
      </c>
      <c r="W7" s="38">
        <v>0</v>
      </c>
      <c r="X7" s="38">
        <v>0</v>
      </c>
      <c r="Y7" s="38">
        <v>0</v>
      </c>
      <c r="Z7" s="38">
        <v>2700</v>
      </c>
      <c r="AA7" s="38">
        <v>100000</v>
      </c>
      <c r="AB7" s="38">
        <f t="shared" ref="AB7:AB55" si="1">SUM(R7:Z7)</f>
        <v>100000</v>
      </c>
      <c r="AE7" s="40"/>
    </row>
    <row r="8" spans="1:31" ht="12.75" customHeight="1" x14ac:dyDescent="0.25">
      <c r="A8" s="17" t="str">
        <f>VLOOKUP(C8,Cadastro!A:I,2,0)</f>
        <v>CRI Mabu 402S</v>
      </c>
      <c r="B8" s="17" t="str">
        <f>VLOOKUP(C8,Cadastro!A:I,3,0)</f>
        <v>Opea Sec</v>
      </c>
      <c r="C8" s="32" t="s">
        <v>40</v>
      </c>
      <c r="D8" s="15" t="str">
        <f>VLOOKUP(C8,Cadastro!A:I,4,0)</f>
        <v>Hotel</v>
      </c>
      <c r="E8" s="15" t="s">
        <v>6</v>
      </c>
      <c r="F8" s="14">
        <v>55591812.637900002</v>
      </c>
      <c r="G8" s="16">
        <v>5.2408967233693017E-2</v>
      </c>
      <c r="H8" s="15" t="str">
        <f>VLOOKUP(C8,Cadastro!A:I,5,0)</f>
        <v>IPCA +</v>
      </c>
      <c r="I8" s="16">
        <f>VLOOKUP(C8,Cadastro!A:I,6,0)</f>
        <v>9.7500000000000003E-2</v>
      </c>
      <c r="J8" s="31">
        <f>VLOOKUP(C8,Cadastro!A:I,7,0)</f>
        <v>48127</v>
      </c>
      <c r="K8" s="30">
        <v>2.9107484045442722</v>
      </c>
      <c r="L8" s="15" t="str">
        <f>VLOOKUP(C8,Cadastro!A:I,8,0)</f>
        <v>mensal</v>
      </c>
      <c r="M8" s="29">
        <v>0.62893081761006286</v>
      </c>
      <c r="N8" s="49">
        <f t="shared" si="0"/>
        <v>0.63063063063063063</v>
      </c>
      <c r="O8" s="33" t="str">
        <f>VLOOKUP(C8,Cadastro!A:I,9,0)</f>
        <v>ICVM 476</v>
      </c>
      <c r="R8" s="38">
        <v>60706</v>
      </c>
      <c r="S8" s="38">
        <v>0</v>
      </c>
      <c r="T8" s="38">
        <v>39312</v>
      </c>
      <c r="U8" s="38">
        <v>4982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166500</v>
      </c>
      <c r="AB8" s="38">
        <f t="shared" si="1"/>
        <v>105000</v>
      </c>
      <c r="AE8" s="40"/>
    </row>
    <row r="9" spans="1:31" ht="12.75" customHeight="1" x14ac:dyDescent="0.25">
      <c r="A9" s="17" t="str">
        <f>VLOOKUP(C9,Cadastro!A:I,2,0)</f>
        <v>CRI Raposo Shopping</v>
      </c>
      <c r="B9" s="17" t="str">
        <f>VLOOKUP(C9,Cadastro!A:I,3,0)</f>
        <v>True Sec</v>
      </c>
      <c r="C9" s="32" t="s">
        <v>41</v>
      </c>
      <c r="D9" s="15" t="str">
        <f>VLOOKUP(C9,Cadastro!A:I,4,0)</f>
        <v>Shopping</v>
      </c>
      <c r="E9" s="15" t="s">
        <v>6</v>
      </c>
      <c r="F9" s="14">
        <v>53316984.7896</v>
      </c>
      <c r="G9" s="16">
        <v>5.02643820419778E-2</v>
      </c>
      <c r="H9" s="15" t="str">
        <f>VLOOKUP(C9,Cadastro!A:I,5,0)</f>
        <v>IPCA +</v>
      </c>
      <c r="I9" s="16">
        <f>VLOOKUP(C9,Cadastro!A:I,6,0)</f>
        <v>6.2E-2</v>
      </c>
      <c r="J9" s="31">
        <f>VLOOKUP(C9,Cadastro!A:I,7,0)</f>
        <v>48603</v>
      </c>
      <c r="K9" s="30">
        <v>3.9084167704507364</v>
      </c>
      <c r="L9" s="15" t="str">
        <f>VLOOKUP(C9,Cadastro!A:I,8,0)</f>
        <v>mensal</v>
      </c>
      <c r="M9" s="29">
        <v>0.2181246767712933</v>
      </c>
      <c r="N9" s="49">
        <f t="shared" si="0"/>
        <v>1</v>
      </c>
      <c r="O9" s="33" t="str">
        <f>VLOOKUP(C9,Cadastro!A:I,9,0)</f>
        <v>ICVM 476</v>
      </c>
      <c r="R9" s="38">
        <v>54000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54000</v>
      </c>
      <c r="AB9" s="38">
        <f t="shared" si="1"/>
        <v>54000</v>
      </c>
      <c r="AE9" s="40"/>
    </row>
    <row r="10" spans="1:31" ht="12.75" customHeight="1" x14ac:dyDescent="0.25">
      <c r="A10" s="17" t="str">
        <f>VLOOKUP(C10,Cadastro!A:I,2,0)</f>
        <v>CRI Planta II</v>
      </c>
      <c r="B10" s="17" t="str">
        <f>VLOOKUP(C10,Cadastro!A:I,3,0)</f>
        <v>Província</v>
      </c>
      <c r="C10" s="32" t="s">
        <v>117</v>
      </c>
      <c r="D10" s="15" t="str">
        <f>VLOOKUP(C10,Cadastro!A:I,4,0)</f>
        <v>Residencial</v>
      </c>
      <c r="E10" s="15" t="s">
        <v>6</v>
      </c>
      <c r="F10" s="14">
        <v>52166705.9322</v>
      </c>
      <c r="G10" s="16">
        <v>4.9179961079852397E-2</v>
      </c>
      <c r="H10" s="15" t="str">
        <f>VLOOKUP(C10,Cadastro!A:I,5,0)</f>
        <v>IPCA +</v>
      </c>
      <c r="I10" s="16">
        <f>VLOOKUP(C10,Cadastro!A:I,6,0)</f>
        <v>8.5000000000000006E-2</v>
      </c>
      <c r="J10" s="31">
        <f>VLOOKUP(C10,Cadastro!A:I,7,0)</f>
        <v>52072</v>
      </c>
      <c r="K10" s="30">
        <v>6.9136098161663746</v>
      </c>
      <c r="L10" s="15" t="str">
        <f>VLOOKUP(C10,Cadastro!A:I,8,0)</f>
        <v>mensal</v>
      </c>
      <c r="M10" s="29">
        <v>0.475511174512601</v>
      </c>
      <c r="N10" s="49">
        <f t="shared" si="0"/>
        <v>1</v>
      </c>
      <c r="O10" s="33" t="str">
        <f>VLOOKUP(C10,Cadastro!A:I,9,0)</f>
        <v>ICVM 476</v>
      </c>
      <c r="R10" s="38">
        <v>51746</v>
      </c>
      <c r="S10" s="38">
        <v>4460</v>
      </c>
      <c r="T10" s="38">
        <v>36516</v>
      </c>
      <c r="U10" s="38">
        <v>7278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100000</v>
      </c>
      <c r="AB10" s="38">
        <f t="shared" si="1"/>
        <v>100000</v>
      </c>
      <c r="AE10" s="40"/>
    </row>
    <row r="11" spans="1:31" ht="12.75" customHeight="1" x14ac:dyDescent="0.25">
      <c r="A11" s="17" t="str">
        <f>VLOOKUP(C11,Cadastro!A:I,2,0)</f>
        <v>CRI Cemara</v>
      </c>
      <c r="B11" s="17" t="str">
        <f>VLOOKUP(C11,Cadastro!A:I,3,0)</f>
        <v>True Sec</v>
      </c>
      <c r="C11" s="32" t="s">
        <v>113</v>
      </c>
      <c r="D11" s="15" t="str">
        <f>VLOOKUP(C11,Cadastro!A:I,4,0)</f>
        <v>Residencial</v>
      </c>
      <c r="E11" s="15" t="s">
        <v>6</v>
      </c>
      <c r="F11" s="14">
        <v>49697149.0119</v>
      </c>
      <c r="G11" s="16">
        <v>4.685179580557413E-2</v>
      </c>
      <c r="H11" s="15" t="str">
        <f>VLOOKUP(C11,Cadastro!A:I,5,0)</f>
        <v>IPCA +</v>
      </c>
      <c r="I11" s="16">
        <f>VLOOKUP(C11,Cadastro!A:I,6,0)</f>
        <v>9.5000000000000001E-2</v>
      </c>
      <c r="J11" s="31">
        <f>VLOOKUP(C11,Cadastro!A:I,7,0)</f>
        <v>48442</v>
      </c>
      <c r="K11" s="30">
        <v>3.6289575729071974</v>
      </c>
      <c r="L11" s="15" t="str">
        <f>VLOOKUP(C11,Cadastro!A:I,8,0)</f>
        <v>mensal</v>
      </c>
      <c r="M11" s="29">
        <v>0.54171180931744312</v>
      </c>
      <c r="N11" s="49">
        <f t="shared" si="0"/>
        <v>0.375</v>
      </c>
      <c r="O11" s="33" t="str">
        <f>VLOOKUP(C11,Cadastro!A:I,9,0)</f>
        <v>ICVM 476</v>
      </c>
      <c r="R11" s="38">
        <v>49925</v>
      </c>
      <c r="S11" s="38">
        <v>0</v>
      </c>
      <c r="T11" s="38">
        <v>10075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160000</v>
      </c>
      <c r="AB11" s="38">
        <f t="shared" si="1"/>
        <v>60000</v>
      </c>
      <c r="AE11" s="40"/>
    </row>
    <row r="12" spans="1:31" ht="12.75" customHeight="1" x14ac:dyDescent="0.25">
      <c r="A12" s="17" t="str">
        <f>VLOOKUP(C12,Cadastro!A:I,2,0)</f>
        <v>CRI Planta 47S</v>
      </c>
      <c r="B12" s="17" t="str">
        <f>VLOOKUP(C12,Cadastro!A:I,3,0)</f>
        <v>Província</v>
      </c>
      <c r="C12" s="32" t="s">
        <v>19</v>
      </c>
      <c r="D12" s="15" t="str">
        <f>VLOOKUP(C12,Cadastro!A:I,4,0)</f>
        <v>Residencial</v>
      </c>
      <c r="E12" s="15" t="s">
        <v>6</v>
      </c>
      <c r="F12" s="14">
        <v>46616196.693099998</v>
      </c>
      <c r="G12" s="16">
        <v>4.3947239874356357E-2</v>
      </c>
      <c r="H12" s="15" t="str">
        <f>VLOOKUP(C12,Cadastro!A:I,5,0)</f>
        <v>IPCA +</v>
      </c>
      <c r="I12" s="16">
        <f>VLOOKUP(C12,Cadastro!A:I,6,0)</f>
        <v>0.08</v>
      </c>
      <c r="J12" s="31">
        <f>VLOOKUP(C12,Cadastro!A:I,7,0)</f>
        <v>51804</v>
      </c>
      <c r="K12" s="30">
        <v>6.8252196846555835</v>
      </c>
      <c r="L12" s="15" t="str">
        <f>VLOOKUP(C12,Cadastro!A:I,8,0)</f>
        <v>mensal</v>
      </c>
      <c r="M12" s="29">
        <v>0.62516934046345818</v>
      </c>
      <c r="N12" s="49">
        <f t="shared" si="0"/>
        <v>1</v>
      </c>
      <c r="O12" s="33" t="str">
        <f>VLOOKUP(C12,Cadastro!A:I,9,0)</f>
        <v>ICVM 476</v>
      </c>
      <c r="R12" s="38">
        <v>45717</v>
      </c>
      <c r="S12" s="38">
        <v>0</v>
      </c>
      <c r="T12" s="38">
        <v>34283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80000</v>
      </c>
      <c r="AB12" s="38">
        <f t="shared" si="1"/>
        <v>80000</v>
      </c>
      <c r="AE12" s="40"/>
    </row>
    <row r="13" spans="1:31" ht="12.75" customHeight="1" x14ac:dyDescent="0.25">
      <c r="A13" s="17" t="str">
        <f>VLOOKUP(C13,Cadastro!A:I,2,0)</f>
        <v>CRI Matarazzo 451S</v>
      </c>
      <c r="B13" s="17" t="str">
        <f>VLOOKUP(C13,Cadastro!A:I,3,0)</f>
        <v>Opea Sec</v>
      </c>
      <c r="C13" s="32" t="s">
        <v>142</v>
      </c>
      <c r="D13" s="15" t="str">
        <f>VLOOKUP(C13,Cadastro!A:I,4,0)</f>
        <v>Shopping</v>
      </c>
      <c r="E13" s="15" t="s">
        <v>6</v>
      </c>
      <c r="F13" s="14">
        <v>43622600.569899999</v>
      </c>
      <c r="G13" s="16">
        <v>4.1125038660058517E-2</v>
      </c>
      <c r="H13" s="15" t="str">
        <f>VLOOKUP(C13,Cadastro!A:I,5,0)</f>
        <v>IPCA +</v>
      </c>
      <c r="I13" s="16">
        <f>VLOOKUP(C13,Cadastro!A:I,6,0)</f>
        <v>9.5000000000000001E-2</v>
      </c>
      <c r="J13" s="31">
        <f>VLOOKUP(C13,Cadastro!A:I,7,0)</f>
        <v>51312</v>
      </c>
      <c r="K13" s="30">
        <v>5.2295333678805704</v>
      </c>
      <c r="L13" s="15" t="str">
        <f>VLOOKUP(C13,Cadastro!A:I,8,0)</f>
        <v>mensal</v>
      </c>
      <c r="M13" s="29">
        <v>0.2833663366336634</v>
      </c>
      <c r="N13" s="49">
        <f t="shared" si="0"/>
        <v>0.33643274853801169</v>
      </c>
      <c r="O13" s="33" t="str">
        <f>VLOOKUP(C13,Cadastro!A:I,9,0)</f>
        <v>ICVM 476</v>
      </c>
      <c r="R13" s="38">
        <v>54872</v>
      </c>
      <c r="S13" s="38">
        <v>0</v>
      </c>
      <c r="T13" s="38">
        <v>36147</v>
      </c>
      <c r="U13" s="38">
        <v>24041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342000</v>
      </c>
      <c r="AB13" s="38">
        <f t="shared" si="1"/>
        <v>115060</v>
      </c>
      <c r="AE13" s="40"/>
    </row>
    <row r="14" spans="1:31" ht="12.75" customHeight="1" x14ac:dyDescent="0.25">
      <c r="A14" s="17" t="str">
        <f>VLOOKUP(C14,Cadastro!A:I,2,0)</f>
        <v>CRI TMX</v>
      </c>
      <c r="B14" s="17" t="str">
        <f>VLOOKUP(C14,Cadastro!A:I,3,0)</f>
        <v>Opea Sec</v>
      </c>
      <c r="C14" s="32" t="s">
        <v>132</v>
      </c>
      <c r="D14" s="15" t="str">
        <f>VLOOKUP(C14,Cadastro!A:I,4,0)</f>
        <v>Infraestrutura</v>
      </c>
      <c r="E14" s="15" t="s">
        <v>6</v>
      </c>
      <c r="F14" s="14">
        <v>32649651.310699999</v>
      </c>
      <c r="G14" s="16">
        <v>3.0780333011976729E-2</v>
      </c>
      <c r="H14" s="15" t="str">
        <f>VLOOKUP(C14,Cadastro!A:I,5,0)</f>
        <v>IPCA +</v>
      </c>
      <c r="I14" s="16">
        <f>VLOOKUP(C14,Cadastro!A:I,6,0)</f>
        <v>0.1</v>
      </c>
      <c r="J14" s="31">
        <f>VLOOKUP(C14,Cadastro!A:I,7,0)</f>
        <v>49734</v>
      </c>
      <c r="K14" s="30">
        <v>4.9799121303810914</v>
      </c>
      <c r="L14" s="15" t="str">
        <f>VLOOKUP(C14,Cadastro!A:I,8,0)</f>
        <v>mensal</v>
      </c>
      <c r="M14" s="29">
        <v>0.6097560975609756</v>
      </c>
      <c r="N14" s="49">
        <f t="shared" si="0"/>
        <v>1</v>
      </c>
      <c r="O14" s="33" t="str">
        <f>VLOOKUP(C14,Cadastro!A:I,9,0)</f>
        <v>ICVM 160</v>
      </c>
      <c r="R14" s="38">
        <v>34494</v>
      </c>
      <c r="S14" s="38">
        <v>0</v>
      </c>
      <c r="T14" s="38">
        <v>6476</v>
      </c>
      <c r="U14" s="38">
        <v>0</v>
      </c>
      <c r="V14" s="38">
        <v>0</v>
      </c>
      <c r="W14" s="38">
        <v>0</v>
      </c>
      <c r="X14" s="38">
        <v>10530</v>
      </c>
      <c r="Y14" s="38">
        <v>0</v>
      </c>
      <c r="Z14" s="38">
        <v>0</v>
      </c>
      <c r="AA14" s="38">
        <v>51500</v>
      </c>
      <c r="AB14" s="38">
        <f t="shared" si="1"/>
        <v>51500</v>
      </c>
      <c r="AE14" s="40"/>
    </row>
    <row r="15" spans="1:31" ht="12.75" customHeight="1" x14ac:dyDescent="0.25">
      <c r="A15" s="17" t="str">
        <f>VLOOKUP(C15,Cadastro!A:I,2,0)</f>
        <v>CRI Fashion Mall 339S</v>
      </c>
      <c r="B15" s="17" t="str">
        <f>VLOOKUP(C15,Cadastro!A:I,3,0)</f>
        <v>Opea Sec</v>
      </c>
      <c r="C15" s="32" t="s">
        <v>36</v>
      </c>
      <c r="D15" s="15" t="str">
        <f>VLOOKUP(C15,Cadastro!A:I,4,0)</f>
        <v>Shopping</v>
      </c>
      <c r="E15" s="15" t="s">
        <v>6</v>
      </c>
      <c r="F15" s="14">
        <v>30294943.420400001</v>
      </c>
      <c r="G15" s="16">
        <v>2.8560441218351041E-2</v>
      </c>
      <c r="H15" s="15" t="str">
        <f>VLOOKUP(C15,Cadastro!A:I,5,0)</f>
        <v>IPCA +</v>
      </c>
      <c r="I15" s="16">
        <f>VLOOKUP(C15,Cadastro!A:I,6,0)</f>
        <v>7.7499999999999999E-2</v>
      </c>
      <c r="J15" s="31">
        <f>VLOOKUP(C15,Cadastro!A:I,7,0)</f>
        <v>47997</v>
      </c>
      <c r="K15" s="30">
        <v>3.2063965398837433</v>
      </c>
      <c r="L15" s="15" t="str">
        <f>VLOOKUP(C15,Cadastro!A:I,8,0)</f>
        <v>mensal</v>
      </c>
      <c r="M15" s="29">
        <v>0.43586198605433996</v>
      </c>
      <c r="N15" s="49">
        <f t="shared" si="0"/>
        <v>1</v>
      </c>
      <c r="O15" s="33" t="str">
        <f>VLOOKUP(C15,Cadastro!A:I,9,0)</f>
        <v>ICVM 476</v>
      </c>
      <c r="R15" s="38">
        <v>33000</v>
      </c>
      <c r="S15" s="38">
        <v>0</v>
      </c>
      <c r="T15" s="38">
        <v>5000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38000</v>
      </c>
      <c r="AB15" s="38">
        <f t="shared" si="1"/>
        <v>38000</v>
      </c>
      <c r="AE15" s="40"/>
    </row>
    <row r="16" spans="1:31" ht="12.75" customHeight="1" x14ac:dyDescent="0.25">
      <c r="A16" s="17" t="str">
        <f>VLOOKUP(C16,Cadastro!A:I,2,0)</f>
        <v>CRI Fashion Mall 340S</v>
      </c>
      <c r="B16" s="17" t="str">
        <f>VLOOKUP(C16,Cadastro!A:I,3,0)</f>
        <v>Opea Sec</v>
      </c>
      <c r="C16" s="32" t="s">
        <v>35</v>
      </c>
      <c r="D16" s="15" t="str">
        <f>VLOOKUP(C16,Cadastro!A:I,4,0)</f>
        <v>Shopping</v>
      </c>
      <c r="E16" s="15" t="s">
        <v>6</v>
      </c>
      <c r="F16" s="14">
        <v>30294943.418200001</v>
      </c>
      <c r="G16" s="16">
        <v>2.8560441216276999E-2</v>
      </c>
      <c r="H16" s="15" t="str">
        <f>VLOOKUP(C16,Cadastro!A:I,5,0)</f>
        <v>IPCA +</v>
      </c>
      <c r="I16" s="16">
        <f>VLOOKUP(C16,Cadastro!A:I,6,0)</f>
        <v>7.7499999999999999E-2</v>
      </c>
      <c r="J16" s="31">
        <f>VLOOKUP(C16,Cadastro!A:I,7,0)</f>
        <v>47997</v>
      </c>
      <c r="K16" s="30">
        <v>3.2063965398837433</v>
      </c>
      <c r="L16" s="15" t="str">
        <f>VLOOKUP(C16,Cadastro!A:I,8,0)</f>
        <v>mensal</v>
      </c>
      <c r="M16" s="29">
        <v>0.43586198605433996</v>
      </c>
      <c r="N16" s="49">
        <f t="shared" si="0"/>
        <v>1</v>
      </c>
      <c r="O16" s="33" t="str">
        <f>VLOOKUP(C16,Cadastro!A:I,9,0)</f>
        <v>ICVM 476</v>
      </c>
      <c r="R16" s="38">
        <v>33000</v>
      </c>
      <c r="S16" s="38">
        <v>0</v>
      </c>
      <c r="T16" s="38">
        <v>5000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38000</v>
      </c>
      <c r="AB16" s="38">
        <f t="shared" si="1"/>
        <v>38000</v>
      </c>
      <c r="AD16" s="41"/>
      <c r="AE16" s="40"/>
    </row>
    <row r="17" spans="1:31" ht="12.75" customHeight="1" x14ac:dyDescent="0.25">
      <c r="A17" s="17" t="str">
        <f>VLOOKUP(C17,Cadastro!A:I,2,0)</f>
        <v>CRI GJA</v>
      </c>
      <c r="B17" s="17" t="str">
        <f>VLOOKUP(C17,Cadastro!A:I,3,0)</f>
        <v>Virgo Sec</v>
      </c>
      <c r="C17" s="32" t="s">
        <v>80</v>
      </c>
      <c r="D17" s="15" t="str">
        <f>VLOOKUP(C17,Cadastro!A:I,4,0)</f>
        <v>Logística</v>
      </c>
      <c r="E17" s="15" t="s">
        <v>31</v>
      </c>
      <c r="F17" s="14">
        <v>30024063.222899999</v>
      </c>
      <c r="G17" s="16">
        <v>2.8305069955544701E-2</v>
      </c>
      <c r="H17" s="15" t="str">
        <f>VLOOKUP(C17,Cadastro!A:I,5,0)</f>
        <v>IPCA +</v>
      </c>
      <c r="I17" s="16">
        <f>VLOOKUP(C17,Cadastro!A:I,6,0)</f>
        <v>7.0000000000000007E-2</v>
      </c>
      <c r="J17" s="31">
        <f>VLOOKUP(C17,Cadastro!A:I,7,0)</f>
        <v>48380</v>
      </c>
      <c r="K17" s="30">
        <v>5.516772520352756</v>
      </c>
      <c r="L17" s="15" t="str">
        <f>VLOOKUP(C17,Cadastro!A:I,8,0)</f>
        <v>mensal</v>
      </c>
      <c r="M17" s="29" t="s">
        <v>6</v>
      </c>
      <c r="N17" s="49">
        <f t="shared" si="0"/>
        <v>0.14510558849989844</v>
      </c>
      <c r="O17" s="33" t="str">
        <f>VLOOKUP(C17,Cadastro!A:I,9,0)</f>
        <v>ICVM 476</v>
      </c>
      <c r="R17" s="38">
        <v>30000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206746</v>
      </c>
      <c r="AB17" s="38">
        <f t="shared" si="1"/>
        <v>30000</v>
      </c>
      <c r="AD17" s="41"/>
      <c r="AE17" s="40"/>
    </row>
    <row r="18" spans="1:31" ht="12.75" customHeight="1" x14ac:dyDescent="0.25">
      <c r="A18" s="17" t="str">
        <f>VLOOKUP(C18,Cadastro!A:I,2,0)</f>
        <v>CRI Villa XP</v>
      </c>
      <c r="B18" s="17" t="str">
        <f>VLOOKUP(C18,Cadastro!A:I,3,0)</f>
        <v>Virgo Sec</v>
      </c>
      <c r="C18" s="32" t="s">
        <v>34</v>
      </c>
      <c r="D18" s="15" t="str">
        <f>VLOOKUP(C18,Cadastro!A:I,4,0)</f>
        <v>Escritório</v>
      </c>
      <c r="E18" s="15" t="s">
        <v>9</v>
      </c>
      <c r="F18" s="14">
        <v>29256067.359000001</v>
      </c>
      <c r="G18" s="16">
        <v>2.7581044813049058E-2</v>
      </c>
      <c r="H18" s="15" t="str">
        <f>VLOOKUP(C18,Cadastro!A:I,5,0)</f>
        <v>IPCA +</v>
      </c>
      <c r="I18" s="16">
        <f>VLOOKUP(C18,Cadastro!A:I,6,0)</f>
        <v>0.05</v>
      </c>
      <c r="J18" s="31">
        <f>VLOOKUP(C18,Cadastro!A:I,7,0)</f>
        <v>49780</v>
      </c>
      <c r="K18" s="30">
        <v>8.9338683518809123</v>
      </c>
      <c r="L18" s="15" t="str">
        <f>VLOOKUP(C18,Cadastro!A:I,8,0)</f>
        <v>mensal</v>
      </c>
      <c r="M18" s="29" t="s">
        <v>6</v>
      </c>
      <c r="N18" s="49">
        <f t="shared" si="0"/>
        <v>0.06</v>
      </c>
      <c r="O18" s="33" t="str">
        <f>VLOOKUP(C18,Cadastro!A:I,9,0)</f>
        <v>ICVM 476</v>
      </c>
      <c r="R18" s="38">
        <v>30000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500000</v>
      </c>
      <c r="AB18" s="38">
        <f t="shared" si="1"/>
        <v>30000</v>
      </c>
      <c r="AE18" s="40"/>
    </row>
    <row r="19" spans="1:31" ht="12.75" customHeight="1" x14ac:dyDescent="0.25">
      <c r="A19" s="17" t="str">
        <f>VLOOKUP(C19,Cadastro!A:I,2,0)</f>
        <v>CRI Athon Energia 191E</v>
      </c>
      <c r="B19" s="17" t="str">
        <f>VLOOKUP(C19,Cadastro!A:I,3,0)</f>
        <v>Opea Sec</v>
      </c>
      <c r="C19" s="32" t="s">
        <v>136</v>
      </c>
      <c r="D19" s="15" t="str">
        <f>VLOOKUP(C19,Cadastro!A:I,4,0)</f>
        <v>Infraestrutura</v>
      </c>
      <c r="E19" s="15" t="s">
        <v>6</v>
      </c>
      <c r="F19" s="14">
        <v>28240146.7632</v>
      </c>
      <c r="G19" s="16">
        <v>2.6623289584520725E-2</v>
      </c>
      <c r="H19" s="15" t="str">
        <f>VLOOKUP(C19,Cadastro!A:I,5,0)</f>
        <v>IPCA +</v>
      </c>
      <c r="I19" s="16">
        <f>VLOOKUP(C19,Cadastro!A:I,6,0)</f>
        <v>0.1</v>
      </c>
      <c r="J19" s="31">
        <f>VLOOKUP(C19,Cadastro!A:I,7,0)</f>
        <v>50769</v>
      </c>
      <c r="K19" s="30">
        <v>5.6167538504216683</v>
      </c>
      <c r="L19" s="15" t="str">
        <f>VLOOKUP(C19,Cadastro!A:I,8,0)</f>
        <v>mensal</v>
      </c>
      <c r="M19" s="29">
        <v>0.66225165562913912</v>
      </c>
      <c r="N19" s="49">
        <f t="shared" si="0"/>
        <v>0.82116923076923076</v>
      </c>
      <c r="O19" s="33" t="str">
        <f>VLOOKUP(C19,Cadastro!A:I,9,0)</f>
        <v>ICVM 160</v>
      </c>
      <c r="R19" s="38">
        <v>29436</v>
      </c>
      <c r="S19" s="38">
        <v>0</v>
      </c>
      <c r="T19" s="38">
        <v>23940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65000</v>
      </c>
      <c r="AB19" s="38">
        <f t="shared" si="1"/>
        <v>53376</v>
      </c>
      <c r="AE19" s="40"/>
    </row>
    <row r="20" spans="1:31" ht="12.75" customHeight="1" x14ac:dyDescent="0.25">
      <c r="A20" s="17" t="str">
        <f>VLOOKUP(C20,Cadastro!A:I,2,0)</f>
        <v>CRI General Shopping</v>
      </c>
      <c r="B20" s="17" t="str">
        <f>VLOOKUP(C20,Cadastro!A:I,3,0)</f>
        <v>True Sec</v>
      </c>
      <c r="C20" s="32" t="s">
        <v>32</v>
      </c>
      <c r="D20" s="15" t="str">
        <f>VLOOKUP(C20,Cadastro!A:I,4,0)</f>
        <v>Shopping</v>
      </c>
      <c r="E20" s="15" t="s">
        <v>31</v>
      </c>
      <c r="F20" s="14">
        <v>25946879.279599998</v>
      </c>
      <c r="G20" s="16">
        <v>2.4461320497652931E-2</v>
      </c>
      <c r="H20" s="15" t="str">
        <f>VLOOKUP(C20,Cadastro!A:I,5,0)</f>
        <v>IPCA +</v>
      </c>
      <c r="I20" s="16">
        <f>VLOOKUP(C20,Cadastro!A:I,6,0)</f>
        <v>0.05</v>
      </c>
      <c r="J20" s="31">
        <f>VLOOKUP(C20,Cadastro!A:I,7,0)</f>
        <v>48414</v>
      </c>
      <c r="K20" s="30">
        <v>4.5</v>
      </c>
      <c r="L20" s="15" t="str">
        <f>VLOOKUP(C20,Cadastro!A:I,8,0)</f>
        <v>mensal</v>
      </c>
      <c r="M20" s="29">
        <v>0.21598272138228941</v>
      </c>
      <c r="N20" s="49">
        <f t="shared" si="0"/>
        <v>5.1439544615384615E-2</v>
      </c>
      <c r="O20" s="33" t="str">
        <f>VLOOKUP(C20,Cadastro!A:I,9,0)</f>
        <v>ICVM 476</v>
      </c>
      <c r="R20" s="38">
        <v>28035468</v>
      </c>
      <c r="S20" s="38">
        <v>5400236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650000000</v>
      </c>
      <c r="AB20" s="38">
        <f t="shared" si="1"/>
        <v>33435704</v>
      </c>
      <c r="AE20" s="40"/>
    </row>
    <row r="21" spans="1:31" ht="12.75" customHeight="1" x14ac:dyDescent="0.25">
      <c r="A21" s="17" t="str">
        <f>VLOOKUP(C21,Cadastro!A:I,2,0)</f>
        <v>CRI GTLG</v>
      </c>
      <c r="B21" s="17" t="str">
        <f>VLOOKUP(C21,Cadastro!A:I,3,0)</f>
        <v>True Sec</v>
      </c>
      <c r="C21" s="32" t="s">
        <v>39</v>
      </c>
      <c r="D21" s="15" t="str">
        <f>VLOOKUP(C21,Cadastro!A:I,4,0)</f>
        <v>Logística</v>
      </c>
      <c r="E21" s="15" t="s">
        <v>6</v>
      </c>
      <c r="F21" s="14">
        <v>25733424.272500001</v>
      </c>
      <c r="G21" s="16">
        <v>2.4260086611903632E-2</v>
      </c>
      <c r="H21" s="15" t="str">
        <f>VLOOKUP(C21,Cadastro!A:I,5,0)</f>
        <v>IPCA +</v>
      </c>
      <c r="I21" s="16">
        <f>VLOOKUP(C21,Cadastro!A:I,6,0)</f>
        <v>5.9299999999999999E-2</v>
      </c>
      <c r="J21" s="31">
        <f>VLOOKUP(C21,Cadastro!A:I,7,0)</f>
        <v>51210</v>
      </c>
      <c r="K21" s="30">
        <v>7.025403712977651</v>
      </c>
      <c r="L21" s="15" t="str">
        <f>VLOOKUP(C21,Cadastro!A:I,8,0)</f>
        <v>mensal</v>
      </c>
      <c r="M21" s="29">
        <v>0.23474178403755869</v>
      </c>
      <c r="N21" s="49">
        <f t="shared" si="0"/>
        <v>7.6335877862595422E-2</v>
      </c>
      <c r="O21" s="33" t="str">
        <f>VLOOKUP(C21,Cadastro!A:I,9,0)</f>
        <v>ICVM 476</v>
      </c>
      <c r="R21" s="38">
        <v>50000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655000</v>
      </c>
      <c r="AB21" s="38">
        <f t="shared" si="1"/>
        <v>50000</v>
      </c>
      <c r="AE21" s="40"/>
    </row>
    <row r="22" spans="1:31" ht="12.75" customHeight="1" x14ac:dyDescent="0.25">
      <c r="A22" s="17" t="str">
        <f>VLOOKUP(C22,Cadastro!A:I,2,0)</f>
        <v>CRI SGGC</v>
      </c>
      <c r="B22" s="17" t="str">
        <f>VLOOKUP(C22,Cadastro!A:I,3,0)</f>
        <v>Opea Sec</v>
      </c>
      <c r="C22" s="32" t="s">
        <v>88</v>
      </c>
      <c r="D22" s="15" t="str">
        <f>VLOOKUP(C22,Cadastro!A:I,4,0)</f>
        <v>Shopping</v>
      </c>
      <c r="E22" s="15" t="s">
        <v>6</v>
      </c>
      <c r="F22" s="14">
        <v>25701106.252900001</v>
      </c>
      <c r="G22" s="16">
        <v>2.4229618923409527E-2</v>
      </c>
      <c r="H22" s="15" t="str">
        <f>VLOOKUP(C22,Cadastro!A:I,5,0)</f>
        <v>IPCA +</v>
      </c>
      <c r="I22" s="16">
        <f>VLOOKUP(C22,Cadastro!A:I,6,0)</f>
        <v>9.8500000000000004E-2</v>
      </c>
      <c r="J22" s="31">
        <f>VLOOKUP(C22,Cadastro!A:I,7,0)</f>
        <v>48388</v>
      </c>
      <c r="K22" s="30">
        <v>3.521969126793544</v>
      </c>
      <c r="L22" s="15" t="str">
        <f>VLOOKUP(C22,Cadastro!A:I,8,0)</f>
        <v>mensal</v>
      </c>
      <c r="M22" s="29">
        <v>0.30303030303030304</v>
      </c>
      <c r="N22" s="49">
        <f t="shared" si="0"/>
        <v>1</v>
      </c>
      <c r="O22" s="33" t="str">
        <f>VLOOKUP(C22,Cadastro!A:I,9,0)</f>
        <v>ICVM 476</v>
      </c>
      <c r="R22" s="38">
        <v>26000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26000</v>
      </c>
      <c r="AB22" s="38">
        <f t="shared" si="1"/>
        <v>26000</v>
      </c>
      <c r="AE22" s="40"/>
    </row>
    <row r="23" spans="1:31" ht="12.75" customHeight="1" x14ac:dyDescent="0.25">
      <c r="A23" s="17" t="str">
        <f>VLOOKUP(C23,Cadastro!A:I,2,0)</f>
        <v>CRI Carinás II</v>
      </c>
      <c r="B23" s="17" t="str">
        <f>VLOOKUP(C23,Cadastro!A:I,3,0)</f>
        <v>Província</v>
      </c>
      <c r="C23" s="32" t="s">
        <v>109</v>
      </c>
      <c r="D23" s="15" t="str">
        <f>VLOOKUP(C23,Cadastro!A:I,4,0)</f>
        <v>Residencial</v>
      </c>
      <c r="E23" s="15" t="s">
        <v>6</v>
      </c>
      <c r="F23" s="14">
        <v>25503596.2722</v>
      </c>
      <c r="G23" s="16">
        <v>2.4043417149881161E-2</v>
      </c>
      <c r="H23" s="15" t="str">
        <f>VLOOKUP(C23,Cadastro!A:I,5,0)</f>
        <v>IPCA +</v>
      </c>
      <c r="I23" s="16">
        <f>VLOOKUP(C23,Cadastro!A:I,6,0)</f>
        <v>0.09</v>
      </c>
      <c r="J23" s="31">
        <f>VLOOKUP(C23,Cadastro!A:I,7,0)</f>
        <v>46629</v>
      </c>
      <c r="K23" s="30">
        <v>2.7792484501630454</v>
      </c>
      <c r="L23" s="15" t="str">
        <f>VLOOKUP(C23,Cadastro!A:I,8,0)</f>
        <v>mensal</v>
      </c>
      <c r="M23" s="29">
        <v>0.75187969924812026</v>
      </c>
      <c r="N23" s="49">
        <f t="shared" si="0"/>
        <v>1</v>
      </c>
      <c r="O23" s="33" t="str">
        <f>VLOOKUP(C23,Cadastro!A:I,9,0)</f>
        <v>ICVM 476</v>
      </c>
      <c r="R23" s="38">
        <v>26100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26100</v>
      </c>
      <c r="AB23" s="38">
        <f t="shared" si="1"/>
        <v>26100</v>
      </c>
      <c r="AE23" s="40"/>
    </row>
    <row r="24" spans="1:31" ht="12.75" customHeight="1" x14ac:dyDescent="0.25">
      <c r="A24" s="17" t="str">
        <f>VLOOKUP(C24,Cadastro!A:I,2,0)</f>
        <v>CRI Tecnisa 175S</v>
      </c>
      <c r="B24" s="17" t="str">
        <f>VLOOKUP(C24,Cadastro!A:I,3,0)</f>
        <v>Virgo Sec</v>
      </c>
      <c r="C24" s="32" t="s">
        <v>27</v>
      </c>
      <c r="D24" s="15" t="str">
        <f>VLOOKUP(C24,Cadastro!A:I,4,0)</f>
        <v>Residencial</v>
      </c>
      <c r="E24" s="15" t="s">
        <v>26</v>
      </c>
      <c r="F24" s="14">
        <v>21680080.3244</v>
      </c>
      <c r="G24" s="16">
        <v>2.043881221765885E-2</v>
      </c>
      <c r="H24" s="15" t="str">
        <f>VLOOKUP(C24,Cadastro!A:I,5,0)</f>
        <v>IPCA +</v>
      </c>
      <c r="I24" s="16">
        <f>VLOOKUP(C24,Cadastro!A:I,6,0)</f>
        <v>5.9426E-2</v>
      </c>
      <c r="J24" s="31">
        <f>VLOOKUP(C24,Cadastro!A:I,7,0)</f>
        <v>46068</v>
      </c>
      <c r="K24" s="30">
        <v>0.9</v>
      </c>
      <c r="L24" s="15" t="str">
        <f>VLOOKUP(C24,Cadastro!A:I,8,0)</f>
        <v>mensal</v>
      </c>
      <c r="M24" s="29">
        <v>2</v>
      </c>
      <c r="N24" s="49">
        <f t="shared" si="0"/>
        <v>0.27128251121076236</v>
      </c>
      <c r="O24" s="33" t="str">
        <f>VLOOKUP(C24,Cadastro!A:I,9,0)</f>
        <v>ICVM 476</v>
      </c>
      <c r="R24" s="38">
        <v>22320</v>
      </c>
      <c r="S24" s="38">
        <v>0</v>
      </c>
      <c r="T24" s="38">
        <v>7928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111500</v>
      </c>
      <c r="AB24" s="38">
        <f t="shared" si="1"/>
        <v>30248</v>
      </c>
      <c r="AE24" s="40"/>
    </row>
    <row r="25" spans="1:31" ht="12.75" customHeight="1" x14ac:dyDescent="0.25">
      <c r="A25" s="17" t="str">
        <f>VLOOKUP(C25,Cadastro!A:I,2,0)</f>
        <v>CRI Matarazzo 545S</v>
      </c>
      <c r="B25" s="17" t="str">
        <f>VLOOKUP(C25,Cadastro!A:I,3,0)</f>
        <v>Opea Sec</v>
      </c>
      <c r="C25" s="32" t="s">
        <v>144</v>
      </c>
      <c r="D25" s="15" t="str">
        <f>VLOOKUP(C25,Cadastro!A:I,4,0)</f>
        <v>Shopping</v>
      </c>
      <c r="E25" s="15" t="s">
        <v>6</v>
      </c>
      <c r="F25" s="14">
        <v>21356093.941599999</v>
      </c>
      <c r="G25" s="16">
        <v>2.0133375303217391E-2</v>
      </c>
      <c r="H25" s="15" t="str">
        <f>VLOOKUP(C25,Cadastro!A:I,5,0)</f>
        <v>IPCA +</v>
      </c>
      <c r="I25" s="16">
        <f>VLOOKUP(C25,Cadastro!A:I,6,0)</f>
        <v>9.5000000000000001E-2</v>
      </c>
      <c r="J25" s="31">
        <f>VLOOKUP(C25,Cadastro!A:I,7,0)</f>
        <v>51312</v>
      </c>
      <c r="K25" s="30">
        <v>5.3725698931551085</v>
      </c>
      <c r="L25" s="15" t="str">
        <f>VLOOKUP(C25,Cadastro!A:I,8,0)</f>
        <v>mensal</v>
      </c>
      <c r="M25" s="29">
        <v>0.2833663366336634</v>
      </c>
      <c r="N25" s="49">
        <f t="shared" si="0"/>
        <v>0.2576967392556746</v>
      </c>
      <c r="O25" s="33" t="str">
        <f>VLOOKUP(C25,Cadastro!A:I,9,0)</f>
        <v>ICVM 160</v>
      </c>
      <c r="R25" s="38">
        <v>22067</v>
      </c>
      <c r="S25" s="38">
        <v>0</v>
      </c>
      <c r="T25" s="38">
        <v>17322</v>
      </c>
      <c r="U25" s="38">
        <v>5342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173580</v>
      </c>
      <c r="AB25" s="38">
        <f t="shared" si="1"/>
        <v>44731</v>
      </c>
      <c r="AE25" s="40"/>
    </row>
    <row r="26" spans="1:31" ht="12.75" customHeight="1" x14ac:dyDescent="0.25">
      <c r="A26" s="17" t="str">
        <f>VLOOKUP(C26,Cadastro!A:I,2,0)</f>
        <v>CRI Manhattan 196S</v>
      </c>
      <c r="B26" s="17" t="str">
        <f>VLOOKUP(C26,Cadastro!A:I,3,0)</f>
        <v xml:space="preserve">Habitasec </v>
      </c>
      <c r="C26" s="32" t="s">
        <v>30</v>
      </c>
      <c r="D26" s="15" t="str">
        <f>VLOOKUP(C26,Cadastro!A:I,4,0)</f>
        <v>Residencial</v>
      </c>
      <c r="E26" s="15" t="s">
        <v>6</v>
      </c>
      <c r="F26" s="14">
        <v>21140762.1325</v>
      </c>
      <c r="G26" s="16">
        <v>1.9930372069611731E-2</v>
      </c>
      <c r="H26" s="15" t="str">
        <f>VLOOKUP(C26,Cadastro!A:I,5,0)</f>
        <v>IPCA +</v>
      </c>
      <c r="I26" s="16">
        <f>VLOOKUP(C26,Cadastro!A:I,6,0)</f>
        <v>0.12</v>
      </c>
      <c r="J26" s="31">
        <f>VLOOKUP(C26,Cadastro!A:I,7,0)</f>
        <v>46251</v>
      </c>
      <c r="K26" s="30">
        <v>0.96950551897704174</v>
      </c>
      <c r="L26" s="15" t="str">
        <f>VLOOKUP(C26,Cadastro!A:I,8,0)</f>
        <v>mensal</v>
      </c>
      <c r="M26" s="29">
        <v>0.42016806722689076</v>
      </c>
      <c r="N26" s="49">
        <f t="shared" si="0"/>
        <v>0.55483870967741933</v>
      </c>
      <c r="O26" s="33" t="str">
        <f>VLOOKUP(C26,Cadastro!A:I,9,0)</f>
        <v>ICVM 476</v>
      </c>
      <c r="R26" s="38">
        <v>27862</v>
      </c>
      <c r="S26" s="38">
        <v>0</v>
      </c>
      <c r="T26" s="38">
        <v>15138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77500</v>
      </c>
      <c r="AB26" s="38">
        <f t="shared" si="1"/>
        <v>43000</v>
      </c>
      <c r="AE26" s="40"/>
    </row>
    <row r="27" spans="1:31" ht="12.75" customHeight="1" x14ac:dyDescent="0.25">
      <c r="A27" s="17" t="str">
        <f>VLOOKUP(C27,Cadastro!A:I,2,0)</f>
        <v>CRI Axis</v>
      </c>
      <c r="B27" s="17" t="str">
        <f>VLOOKUP(C27,Cadastro!A:I,3,0)</f>
        <v>Opea Sec</v>
      </c>
      <c r="C27" s="32" t="s">
        <v>119</v>
      </c>
      <c r="D27" s="15" t="str">
        <f>VLOOKUP(C27,Cadastro!A:I,4,0)</f>
        <v>Infraestrutura</v>
      </c>
      <c r="E27" s="15" t="s">
        <v>6</v>
      </c>
      <c r="F27" s="14">
        <v>20256607.035399999</v>
      </c>
      <c r="G27" s="16">
        <v>1.9096838257443394E-2</v>
      </c>
      <c r="H27" s="15" t="str">
        <f>VLOOKUP(C27,Cadastro!A:I,5,0)</f>
        <v>IPCA +</v>
      </c>
      <c r="I27" s="16">
        <f>VLOOKUP(C27,Cadastro!A:I,6,0)</f>
        <v>9.1700000000000004E-2</v>
      </c>
      <c r="J27" s="31">
        <f>VLOOKUP(C27,Cadastro!A:I,7,0)</f>
        <v>49856</v>
      </c>
      <c r="K27" s="30">
        <v>5.1745839845705168</v>
      </c>
      <c r="L27" s="15" t="str">
        <f>VLOOKUP(C27,Cadastro!A:I,8,0)</f>
        <v>mensal</v>
      </c>
      <c r="M27" s="29">
        <v>0.61728395061728392</v>
      </c>
      <c r="N27" s="49">
        <f t="shared" si="0"/>
        <v>0.88922388059701496</v>
      </c>
      <c r="O27" s="33" t="str">
        <f>VLOOKUP(C27,Cadastro!A:I,9,0)</f>
        <v>ICVM 476</v>
      </c>
      <c r="R27" s="38">
        <v>20661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30004</v>
      </c>
      <c r="Y27" s="38">
        <v>0</v>
      </c>
      <c r="Z27" s="38">
        <v>8913</v>
      </c>
      <c r="AA27" s="38">
        <v>67000</v>
      </c>
      <c r="AB27" s="38">
        <f t="shared" si="1"/>
        <v>59578</v>
      </c>
      <c r="AE27" s="40"/>
    </row>
    <row r="28" spans="1:31" ht="12.75" customHeight="1" x14ac:dyDescent="0.25">
      <c r="A28" s="17" t="str">
        <f>VLOOKUP(C28,Cadastro!A:I,2,0)</f>
        <v>CRI RV Ipiranga 2</v>
      </c>
      <c r="B28" s="17" t="str">
        <f>VLOOKUP(C28,Cadastro!A:I,3,0)</f>
        <v>Província</v>
      </c>
      <c r="C28" s="32" t="s">
        <v>120</v>
      </c>
      <c r="D28" s="15" t="str">
        <f>VLOOKUP(C28,Cadastro!A:I,4,0)</f>
        <v>Residencial</v>
      </c>
      <c r="E28" s="15" t="s">
        <v>6</v>
      </c>
      <c r="F28" s="14">
        <v>18742847.250999998</v>
      </c>
      <c r="G28" s="16">
        <v>1.7669747051458594E-2</v>
      </c>
      <c r="H28" s="15" t="str">
        <f>VLOOKUP(C28,Cadastro!A:I,5,0)</f>
        <v>IPCA +</v>
      </c>
      <c r="I28" s="16">
        <f>VLOOKUP(C28,Cadastro!A:I,6,0)</f>
        <v>0.09</v>
      </c>
      <c r="J28" s="31">
        <f>VLOOKUP(C28,Cadastro!A:I,7,0)</f>
        <v>45996</v>
      </c>
      <c r="K28" s="30">
        <v>1.3526792652787683</v>
      </c>
      <c r="L28" s="15" t="str">
        <f>VLOOKUP(C28,Cadastro!A:I,8,0)</f>
        <v>mensal</v>
      </c>
      <c r="M28" s="29">
        <v>0.69087640254732929</v>
      </c>
      <c r="N28" s="49">
        <f t="shared" si="0"/>
        <v>0.79287692307692303</v>
      </c>
      <c r="O28" s="33" t="str">
        <f>VLOOKUP(C28,Cadastro!A:I,9,0)</f>
        <v>ICVM 476</v>
      </c>
      <c r="R28" s="38">
        <v>18751</v>
      </c>
      <c r="S28" s="38">
        <v>0</v>
      </c>
      <c r="T28" s="38">
        <v>30660</v>
      </c>
      <c r="U28" s="38">
        <v>2126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65000</v>
      </c>
      <c r="AB28" s="38">
        <f t="shared" si="1"/>
        <v>51537</v>
      </c>
      <c r="AE28" s="40"/>
    </row>
    <row r="29" spans="1:31" ht="12.75" customHeight="1" x14ac:dyDescent="0.25">
      <c r="A29" s="17" t="str">
        <f>VLOOKUP(C29,Cadastro!A:I,2,0)</f>
        <v>CRI AR Terrenos</v>
      </c>
      <c r="B29" s="17" t="str">
        <f>VLOOKUP(C29,Cadastro!A:I,3,0)</f>
        <v>Província</v>
      </c>
      <c r="C29" s="32" t="s">
        <v>20</v>
      </c>
      <c r="D29" s="15" t="str">
        <f>VLOOKUP(C29,Cadastro!A:I,4,0)</f>
        <v>Residencial</v>
      </c>
      <c r="E29" s="15" t="s">
        <v>6</v>
      </c>
      <c r="F29" s="14">
        <v>17972096.9877</v>
      </c>
      <c r="G29" s="16">
        <v>1.6943125209538099E-2</v>
      </c>
      <c r="H29" s="15" t="str">
        <f>VLOOKUP(C29,Cadastro!A:I,5,0)</f>
        <v>IPCA +</v>
      </c>
      <c r="I29" s="16">
        <f>VLOOKUP(C29,Cadastro!A:I,6,0)</f>
        <v>0.09</v>
      </c>
      <c r="J29" s="31">
        <f>VLOOKUP(C29,Cadastro!A:I,7,0)</f>
        <v>46294</v>
      </c>
      <c r="K29" s="30">
        <v>2.0514555749999999</v>
      </c>
      <c r="L29" s="15" t="str">
        <f>VLOOKUP(C29,Cadastro!A:I,8,0)</f>
        <v>mensal</v>
      </c>
      <c r="M29" s="29">
        <v>0.5</v>
      </c>
      <c r="N29" s="49">
        <f t="shared" si="0"/>
        <v>0.68518518518518523</v>
      </c>
      <c r="O29" s="33" t="str">
        <f>VLOOKUP(C29,Cadastro!A:I,9,0)</f>
        <v>ICVM 476</v>
      </c>
      <c r="R29" s="38">
        <v>18500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27000</v>
      </c>
      <c r="AB29" s="38">
        <f t="shared" si="1"/>
        <v>18500</v>
      </c>
      <c r="AE29" s="40"/>
    </row>
    <row r="30" spans="1:31" ht="12.75" customHeight="1" x14ac:dyDescent="0.25">
      <c r="A30" s="17" t="str">
        <f>VLOOKUP(C30,Cadastro!A:I,2,0)</f>
        <v>CRI HGLG Eletrolux</v>
      </c>
      <c r="B30" s="17" t="str">
        <f>VLOOKUP(C30,Cadastro!A:I,3,0)</f>
        <v>Virgo Sec</v>
      </c>
      <c r="C30" s="32" t="s">
        <v>28</v>
      </c>
      <c r="D30" s="15" t="str">
        <f>VLOOKUP(C30,Cadastro!A:I,4,0)</f>
        <v>Logística</v>
      </c>
      <c r="E30" s="15" t="s">
        <v>6</v>
      </c>
      <c r="F30" s="14">
        <v>17922768.654100001</v>
      </c>
      <c r="G30" s="16">
        <v>1.6896621113041476E-2</v>
      </c>
      <c r="H30" s="15" t="str">
        <f>VLOOKUP(C30,Cadastro!A:I,5,0)</f>
        <v>IPCA +</v>
      </c>
      <c r="I30" s="16">
        <f>VLOOKUP(C30,Cadastro!A:I,6,0)</f>
        <v>5.2499999999999998E-2</v>
      </c>
      <c r="J30" s="31">
        <f>VLOOKUP(C30,Cadastro!A:I,7,0)</f>
        <v>48113</v>
      </c>
      <c r="K30" s="30">
        <v>3.4116932556489612</v>
      </c>
      <c r="L30" s="15" t="str">
        <f>VLOOKUP(C30,Cadastro!A:I,8,0)</f>
        <v>mensal</v>
      </c>
      <c r="M30" s="29">
        <v>0.58272874932322682</v>
      </c>
      <c r="N30" s="49">
        <f t="shared" si="0"/>
        <v>0.1791328180279268</v>
      </c>
      <c r="O30" s="33" t="str">
        <f>VLOOKUP(C30,Cadastro!A:I,9,0)</f>
        <v>ICVM 476</v>
      </c>
      <c r="R30" s="38">
        <v>20000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111649</v>
      </c>
      <c r="AB30" s="38">
        <f t="shared" si="1"/>
        <v>20000</v>
      </c>
      <c r="AE30" s="40"/>
    </row>
    <row r="31" spans="1:31" ht="12.75" customHeight="1" x14ac:dyDescent="0.25">
      <c r="A31" s="17" t="str">
        <f>VLOOKUP(C31,Cadastro!A:I,2,0)</f>
        <v>CRI Choice</v>
      </c>
      <c r="B31" s="17" t="str">
        <f>VLOOKUP(C31,Cadastro!A:I,3,0)</f>
        <v>Província</v>
      </c>
      <c r="C31" s="32" t="s">
        <v>122</v>
      </c>
      <c r="D31" s="15" t="str">
        <f>VLOOKUP(C31,Cadastro!A:I,4,0)</f>
        <v>Residencial</v>
      </c>
      <c r="E31" s="15" t="s">
        <v>6</v>
      </c>
      <c r="F31" s="14">
        <v>16084745.5351</v>
      </c>
      <c r="G31" s="16">
        <v>1.516383189737254E-2</v>
      </c>
      <c r="H31" s="15" t="str">
        <f>VLOOKUP(C31,Cadastro!A:I,5,0)</f>
        <v>IPCA +</v>
      </c>
      <c r="I31" s="16">
        <f>VLOOKUP(C31,Cadastro!A:I,6,0)</f>
        <v>0.09</v>
      </c>
      <c r="J31" s="31" t="str">
        <f>VLOOKUP(C31,Cadastro!A:I,7,0)</f>
        <v>05/08/2025</v>
      </c>
      <c r="K31" s="30">
        <v>1.0500996308956585</v>
      </c>
      <c r="L31" s="15" t="str">
        <f>VLOOKUP(C31,Cadastro!A:I,8,0)</f>
        <v>mensal</v>
      </c>
      <c r="M31" s="29">
        <v>0.59350673369537799</v>
      </c>
      <c r="N31" s="49">
        <f t="shared" si="0"/>
        <v>1</v>
      </c>
      <c r="O31" s="33" t="str">
        <f>VLOOKUP(C31,Cadastro!A:I,9,0)</f>
        <v>ICVM 476</v>
      </c>
      <c r="R31" s="38">
        <v>15863</v>
      </c>
      <c r="S31" s="38">
        <v>0</v>
      </c>
      <c r="T31" s="38">
        <v>17270</v>
      </c>
      <c r="U31" s="38">
        <v>2167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35300</v>
      </c>
      <c r="AB31" s="38">
        <f t="shared" si="1"/>
        <v>35300</v>
      </c>
      <c r="AE31" s="40"/>
    </row>
    <row r="32" spans="1:31" ht="12.75" customHeight="1" x14ac:dyDescent="0.25">
      <c r="A32" s="17" t="str">
        <f>VLOOKUP(C32,Cadastro!A:I,2,0)</f>
        <v>CRI Gafisa 28S</v>
      </c>
      <c r="B32" s="17" t="str">
        <f>VLOOKUP(C32,Cadastro!A:I,3,0)</f>
        <v>Província</v>
      </c>
      <c r="C32" s="32" t="s">
        <v>37</v>
      </c>
      <c r="D32" s="15" t="str">
        <f>VLOOKUP(C32,Cadastro!A:I,4,0)</f>
        <v>Residencial</v>
      </c>
      <c r="E32" s="15" t="s">
        <v>6</v>
      </c>
      <c r="F32" s="14">
        <v>14841854.0658</v>
      </c>
      <c r="G32" s="16">
        <v>1.3992100752107245E-2</v>
      </c>
      <c r="H32" s="15" t="str">
        <f>VLOOKUP(C32,Cadastro!A:I,5,0)</f>
        <v>IPCA +</v>
      </c>
      <c r="I32" s="16">
        <f>VLOOKUP(C32,Cadastro!A:I,6,0)</f>
        <v>7.85E-2</v>
      </c>
      <c r="J32" s="31">
        <f>VLOOKUP(C32,Cadastro!A:I,7,0)</f>
        <v>45988</v>
      </c>
      <c r="K32" s="30">
        <v>1.3469157962</v>
      </c>
      <c r="L32" s="15" t="str">
        <f>VLOOKUP(C32,Cadastro!A:I,8,0)</f>
        <v>mensal</v>
      </c>
      <c r="M32" s="29">
        <v>0.66666666666666663</v>
      </c>
      <c r="N32" s="49">
        <f t="shared" si="0"/>
        <v>1</v>
      </c>
      <c r="O32" s="33" t="str">
        <f>VLOOKUP(C32,Cadastro!A:I,9,0)</f>
        <v>ICVM 476</v>
      </c>
      <c r="R32" s="38">
        <v>34750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250</v>
      </c>
      <c r="AA32" s="38">
        <v>35000</v>
      </c>
      <c r="AB32" s="38">
        <f t="shared" si="1"/>
        <v>35000</v>
      </c>
      <c r="AE32" s="40"/>
    </row>
    <row r="33" spans="1:31" ht="12.75" customHeight="1" x14ac:dyDescent="0.25">
      <c r="A33" s="17" t="str">
        <f>VLOOKUP(C33,Cadastro!A:I,2,0)</f>
        <v>CRI Gafisa 27S</v>
      </c>
      <c r="B33" s="17" t="str">
        <f>VLOOKUP(C33,Cadastro!A:I,3,0)</f>
        <v>Província</v>
      </c>
      <c r="C33" s="32" t="s">
        <v>38</v>
      </c>
      <c r="D33" s="15" t="str">
        <f>VLOOKUP(C33,Cadastro!A:I,4,0)</f>
        <v>Residencial</v>
      </c>
      <c r="E33" s="15" t="s">
        <v>6</v>
      </c>
      <c r="F33" s="14">
        <v>14750415.388499999</v>
      </c>
      <c r="G33" s="16">
        <v>1.3905897291289692E-2</v>
      </c>
      <c r="H33" s="15" t="str">
        <f>VLOOKUP(C33,Cadastro!A:I,5,0)</f>
        <v>IPCA +</v>
      </c>
      <c r="I33" s="16">
        <f>VLOOKUP(C33,Cadastro!A:I,6,0)</f>
        <v>7.85E-2</v>
      </c>
      <c r="J33" s="31">
        <f>VLOOKUP(C33,Cadastro!A:I,7,0)</f>
        <v>45988</v>
      </c>
      <c r="K33" s="30">
        <v>1.3469157962</v>
      </c>
      <c r="L33" s="15" t="str">
        <f>VLOOKUP(C33,Cadastro!A:I,8,0)</f>
        <v>mensal</v>
      </c>
      <c r="M33" s="29">
        <v>0.66666666666666663</v>
      </c>
      <c r="N33" s="49">
        <f t="shared" si="0"/>
        <v>1</v>
      </c>
      <c r="O33" s="33" t="str">
        <f>VLOOKUP(C33,Cadastro!A:I,9,0)</f>
        <v>ICVM 476</v>
      </c>
      <c r="R33" s="38">
        <v>34750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250</v>
      </c>
      <c r="AA33" s="38">
        <v>35000</v>
      </c>
      <c r="AB33" s="38">
        <f t="shared" si="1"/>
        <v>35000</v>
      </c>
      <c r="AE33" s="40"/>
    </row>
    <row r="34" spans="1:31" ht="12.75" customHeight="1" x14ac:dyDescent="0.25">
      <c r="A34" s="17" t="str">
        <f>VLOOKUP(C34,Cadastro!A:I,2,0)</f>
        <v>CRI São Gonçalo</v>
      </c>
      <c r="B34" s="17" t="str">
        <f>VLOOKUP(C34,Cadastro!A:I,3,0)</f>
        <v>Virgo Sec</v>
      </c>
      <c r="C34" s="32" t="s">
        <v>25</v>
      </c>
      <c r="D34" s="15" t="str">
        <f>VLOOKUP(C34,Cadastro!A:I,4,0)</f>
        <v>Shopping</v>
      </c>
      <c r="E34" s="15" t="s">
        <v>125</v>
      </c>
      <c r="F34" s="14">
        <v>14593568.2015</v>
      </c>
      <c r="G34" s="16">
        <v>1.3758030209895486E-2</v>
      </c>
      <c r="H34" s="15" t="str">
        <f>VLOOKUP(C34,Cadastro!A:I,5,0)</f>
        <v>IPCA +</v>
      </c>
      <c r="I34" s="16">
        <f>VLOOKUP(C34,Cadastro!A:I,6,0)</f>
        <v>5.0599999999999999E-2</v>
      </c>
      <c r="J34" s="31">
        <f>VLOOKUP(C34,Cadastro!A:I,7,0)</f>
        <v>49293</v>
      </c>
      <c r="K34" s="30">
        <v>4.9000000000000004</v>
      </c>
      <c r="L34" s="15" t="str">
        <f>VLOOKUP(C34,Cadastro!A:I,8,0)</f>
        <v>mensal</v>
      </c>
      <c r="M34" s="29">
        <v>0.32217851121442809</v>
      </c>
      <c r="N34" s="49">
        <f t="shared" si="0"/>
        <v>0.16071428571428573</v>
      </c>
      <c r="O34" s="33" t="str">
        <f>VLOOKUP(C34,Cadastro!A:I,9,0)</f>
        <v>ICVM 476</v>
      </c>
      <c r="R34" s="38">
        <v>19500</v>
      </c>
      <c r="S34" s="38">
        <v>0</v>
      </c>
      <c r="T34" s="38">
        <v>3000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140000</v>
      </c>
      <c r="AB34" s="38">
        <f t="shared" si="1"/>
        <v>22500</v>
      </c>
      <c r="AE34" s="40"/>
    </row>
    <row r="35" spans="1:31" ht="12.75" customHeight="1" x14ac:dyDescent="0.25">
      <c r="A35" s="17" t="str">
        <f>VLOOKUP(C35,Cadastro!A:I,2,0)</f>
        <v>CRI Makro</v>
      </c>
      <c r="B35" s="17" t="str">
        <f>VLOOKUP(C35,Cadastro!A:I,3,0)</f>
        <v>Opea Sec</v>
      </c>
      <c r="C35" s="32" t="s">
        <v>115</v>
      </c>
      <c r="D35" s="15" t="str">
        <f>VLOOKUP(C35,Cadastro!A:I,4,0)</f>
        <v>Logística</v>
      </c>
      <c r="E35" s="15" t="s">
        <v>6</v>
      </c>
      <c r="F35" s="14">
        <v>13189785.905300001</v>
      </c>
      <c r="G35" s="16">
        <v>1.2434619857295706E-2</v>
      </c>
      <c r="H35" s="15" t="str">
        <f>VLOOKUP(C35,Cadastro!A:I,5,0)</f>
        <v>IPCA +</v>
      </c>
      <c r="I35" s="16">
        <f>VLOOKUP(C35,Cadastro!A:I,6,0)</f>
        <v>6.5000000000000002E-2</v>
      </c>
      <c r="J35" s="31">
        <f>VLOOKUP(C35,Cadastro!A:I,7,0)</f>
        <v>48199</v>
      </c>
      <c r="K35" s="30">
        <v>3.4439681331994918</v>
      </c>
      <c r="L35" s="15" t="str">
        <f>VLOOKUP(C35,Cadastro!A:I,8,0)</f>
        <v>mensal</v>
      </c>
      <c r="M35" s="29">
        <v>0.53977344241661418</v>
      </c>
      <c r="N35" s="49">
        <f t="shared" si="0"/>
        <v>0.18207215558227685</v>
      </c>
      <c r="O35" s="33" t="str">
        <f>VLOOKUP(C35,Cadastro!A:I,9,0)</f>
        <v>ICVM 476</v>
      </c>
      <c r="R35" s="38">
        <v>14700000</v>
      </c>
      <c r="S35" s="38">
        <v>0</v>
      </c>
      <c r="T35" s="38">
        <v>5280019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109736818</v>
      </c>
      <c r="AB35" s="38">
        <f t="shared" si="1"/>
        <v>19980019</v>
      </c>
      <c r="AE35" s="40"/>
    </row>
    <row r="36" spans="1:31" ht="12.75" customHeight="1" x14ac:dyDescent="0.25">
      <c r="A36" s="17" t="str">
        <f>VLOOKUP(C36,Cadastro!A:I,2,0)</f>
        <v>CRI Helbor 113S</v>
      </c>
      <c r="B36" s="17" t="str">
        <f>VLOOKUP(C36,Cadastro!A:I,3,0)</f>
        <v>Virgo Sec</v>
      </c>
      <c r="C36" s="32" t="s">
        <v>29</v>
      </c>
      <c r="D36" s="15" t="str">
        <f>VLOOKUP(C36,Cadastro!A:I,4,0)</f>
        <v>Escritório</v>
      </c>
      <c r="E36" s="15" t="s">
        <v>124</v>
      </c>
      <c r="F36" s="14">
        <v>11570567.5353</v>
      </c>
      <c r="G36" s="16">
        <v>1.0908107975945949E-2</v>
      </c>
      <c r="H36" s="15" t="str">
        <f>VLOOKUP(C36,Cadastro!A:I,5,0)</f>
        <v>IPCA +</v>
      </c>
      <c r="I36" s="16">
        <f>VLOOKUP(C36,Cadastro!A:I,6,0)</f>
        <v>5.5E-2</v>
      </c>
      <c r="J36" s="31">
        <f>VLOOKUP(C36,Cadastro!A:I,7,0)</f>
        <v>49558</v>
      </c>
      <c r="K36" s="30">
        <v>5.0349890168944018</v>
      </c>
      <c r="L36" s="15" t="str">
        <f>VLOOKUP(C36,Cadastro!A:I,8,0)</f>
        <v>mensal</v>
      </c>
      <c r="M36" s="29">
        <v>0.38068475452196382</v>
      </c>
      <c r="N36" s="49">
        <f t="shared" si="0"/>
        <v>0.22856000000000001</v>
      </c>
      <c r="O36" s="33" t="str">
        <f>VLOOKUP(C36,Cadastro!A:I,9,0)</f>
        <v>ICVM 476</v>
      </c>
      <c r="R36" s="38">
        <v>34284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150000</v>
      </c>
      <c r="AB36" s="38">
        <f t="shared" si="1"/>
        <v>34284</v>
      </c>
      <c r="AE36" s="40"/>
    </row>
    <row r="37" spans="1:31" ht="12.75" customHeight="1" x14ac:dyDescent="0.25">
      <c r="A37" s="17" t="str">
        <f>VLOOKUP(C37,Cadastro!A:I,2,0)</f>
        <v>CRI JSL Ribeira 261S</v>
      </c>
      <c r="B37" s="17" t="str">
        <f>VLOOKUP(C37,Cadastro!A:I,3,0)</f>
        <v>Opea Sec</v>
      </c>
      <c r="C37" s="32" t="s">
        <v>18</v>
      </c>
      <c r="D37" s="15" t="str">
        <f>VLOOKUP(C37,Cadastro!A:I,4,0)</f>
        <v>Logística</v>
      </c>
      <c r="E37" s="15" t="s">
        <v>126</v>
      </c>
      <c r="F37" s="14">
        <v>11533137.684699999</v>
      </c>
      <c r="G37" s="16">
        <v>1.0872821128466541E-2</v>
      </c>
      <c r="H37" s="15" t="str">
        <f>VLOOKUP(C37,Cadastro!A:I,5,0)</f>
        <v>IPCA +</v>
      </c>
      <c r="I37" s="16">
        <f>VLOOKUP(C37,Cadastro!A:I,6,0)</f>
        <v>0.06</v>
      </c>
      <c r="J37" s="31">
        <f>VLOOKUP(C37,Cadastro!A:I,7,0)</f>
        <v>49334</v>
      </c>
      <c r="K37" s="30">
        <v>4.8</v>
      </c>
      <c r="L37" s="15" t="str">
        <f>VLOOKUP(C37,Cadastro!A:I,8,0)</f>
        <v>mensal</v>
      </c>
      <c r="M37" s="29">
        <v>0.69575076407374548</v>
      </c>
      <c r="N37" s="49">
        <f t="shared" si="0"/>
        <v>0.14585764294049008</v>
      </c>
      <c r="O37" s="33" t="str">
        <f>VLOOKUP(C37,Cadastro!A:I,9,0)</f>
        <v>ICVM 476</v>
      </c>
      <c r="R37" s="38">
        <v>12000</v>
      </c>
      <c r="S37" s="38">
        <v>0</v>
      </c>
      <c r="T37" s="38">
        <v>3000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102840</v>
      </c>
      <c r="AB37" s="38">
        <f t="shared" si="1"/>
        <v>15000</v>
      </c>
      <c r="AE37" s="40"/>
    </row>
    <row r="38" spans="1:31" ht="12.75" customHeight="1" x14ac:dyDescent="0.25">
      <c r="A38" s="17" t="str">
        <f>VLOOKUP(C38,Cadastro!A:I,2,0)</f>
        <v>CRI JSL Ribeira 268S</v>
      </c>
      <c r="B38" s="17" t="str">
        <f>VLOOKUP(C38,Cadastro!A:I,3,0)</f>
        <v>Opea Sec</v>
      </c>
      <c r="C38" s="32" t="s">
        <v>17</v>
      </c>
      <c r="D38" s="15" t="str">
        <f>VLOOKUP(C38,Cadastro!A:I,4,0)</f>
        <v>Logística</v>
      </c>
      <c r="E38" s="15" t="s">
        <v>126</v>
      </c>
      <c r="F38" s="14">
        <v>11318976.3091</v>
      </c>
      <c r="G38" s="16">
        <v>1.0670921316534685E-2</v>
      </c>
      <c r="H38" s="15" t="str">
        <f>VLOOKUP(C38,Cadastro!A:I,5,0)</f>
        <v>IPCA +</v>
      </c>
      <c r="I38" s="16">
        <f>VLOOKUP(C38,Cadastro!A:I,6,0)</f>
        <v>0.06</v>
      </c>
      <c r="J38" s="31">
        <f>VLOOKUP(C38,Cadastro!A:I,7,0)</f>
        <v>49334</v>
      </c>
      <c r="K38" s="30">
        <v>4.8</v>
      </c>
      <c r="L38" s="15" t="str">
        <f>VLOOKUP(C38,Cadastro!A:I,8,0)</f>
        <v>mensal</v>
      </c>
      <c r="M38" s="29">
        <v>0.69575076407374548</v>
      </c>
      <c r="N38" s="49">
        <f t="shared" si="0"/>
        <v>0.14585764294049008</v>
      </c>
      <c r="O38" s="33" t="str">
        <f>VLOOKUP(C38,Cadastro!A:I,9,0)</f>
        <v>ICVM 476</v>
      </c>
      <c r="R38" s="38">
        <v>12000</v>
      </c>
      <c r="S38" s="38">
        <v>0</v>
      </c>
      <c r="T38" s="38">
        <v>3000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102840</v>
      </c>
      <c r="AB38" s="38">
        <f t="shared" si="1"/>
        <v>15000</v>
      </c>
      <c r="AE38" s="40"/>
    </row>
    <row r="39" spans="1:31" ht="12.75" customHeight="1" x14ac:dyDescent="0.25">
      <c r="A39" s="17" t="str">
        <f>VLOOKUP(C39,Cadastro!A:I,2,0)</f>
        <v>CRI Socicam Chapecó</v>
      </c>
      <c r="B39" s="17" t="str">
        <f>VLOOKUP(C39,Cadastro!A:I,3,0)</f>
        <v>Reit</v>
      </c>
      <c r="C39" s="32" t="s">
        <v>21</v>
      </c>
      <c r="D39" s="15" t="str">
        <f>VLOOKUP(C39,Cadastro!A:I,4,0)</f>
        <v>Infraestrutura</v>
      </c>
      <c r="E39" s="15" t="s">
        <v>6</v>
      </c>
      <c r="F39" s="14">
        <v>11002086.511499999</v>
      </c>
      <c r="G39" s="16">
        <v>1.0372174680455624E-2</v>
      </c>
      <c r="H39" s="15" t="str">
        <f>VLOOKUP(C39,Cadastro!A:I,5,0)</f>
        <v>IPCA +</v>
      </c>
      <c r="I39" s="16">
        <f>VLOOKUP(C39,Cadastro!A:I,6,0)</f>
        <v>0.09</v>
      </c>
      <c r="J39" s="31">
        <f>VLOOKUP(C39,Cadastro!A:I,7,0)</f>
        <v>49751</v>
      </c>
      <c r="K39" s="30">
        <v>4.8178449658937028</v>
      </c>
      <c r="L39" s="15" t="str">
        <f>VLOOKUP(C39,Cadastro!A:I,8,0)</f>
        <v>mensal</v>
      </c>
      <c r="M39" s="29">
        <v>0.50761421319796951</v>
      </c>
      <c r="N39" s="49">
        <f t="shared" si="0"/>
        <v>0.85927362397950635</v>
      </c>
      <c r="O39" s="33" t="str">
        <f>VLOOKUP(C39,Cadastro!A:I,9,0)</f>
        <v>ICVM 476</v>
      </c>
      <c r="R39" s="38">
        <v>15277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20614</v>
      </c>
      <c r="Y39" s="38">
        <v>0</v>
      </c>
      <c r="Z39" s="38">
        <v>0</v>
      </c>
      <c r="AA39" s="38">
        <v>41769</v>
      </c>
      <c r="AB39" s="38">
        <f t="shared" si="1"/>
        <v>35891</v>
      </c>
      <c r="AE39" s="40"/>
    </row>
    <row r="40" spans="1:31" ht="12.75" customHeight="1" x14ac:dyDescent="0.25">
      <c r="A40" s="17" t="str">
        <f>VLOOKUP(C40,Cadastro!A:I,2,0)</f>
        <v>CRI Rede Duque 443S</v>
      </c>
      <c r="B40" s="17" t="str">
        <f>VLOOKUP(C40,Cadastro!A:I,3,0)</f>
        <v>True Sec</v>
      </c>
      <c r="C40" s="32" t="s">
        <v>14</v>
      </c>
      <c r="D40" s="15" t="str">
        <f>VLOOKUP(C40,Cadastro!A:I,4,0)</f>
        <v>Logística</v>
      </c>
      <c r="E40" s="15" t="s">
        <v>6</v>
      </c>
      <c r="F40" s="14">
        <v>10618266.662599999</v>
      </c>
      <c r="G40" s="16">
        <v>1.0010329996317241E-2</v>
      </c>
      <c r="H40" s="15" t="str">
        <f>VLOOKUP(C40,Cadastro!A:I,5,0)</f>
        <v>IPCA +</v>
      </c>
      <c r="I40" s="16">
        <f>VLOOKUP(C40,Cadastro!A:I,6,0)</f>
        <v>8.2000000000000003E-2</v>
      </c>
      <c r="J40" s="31">
        <f>VLOOKUP(C40,Cadastro!A:I,7,0)</f>
        <v>48841</v>
      </c>
      <c r="K40" s="30">
        <v>4.2672288518173076</v>
      </c>
      <c r="L40" s="15" t="str">
        <f>VLOOKUP(C40,Cadastro!A:I,8,0)</f>
        <v>mensal</v>
      </c>
      <c r="M40" s="29">
        <v>0.57910197230381877</v>
      </c>
      <c r="N40" s="49">
        <f t="shared" si="0"/>
        <v>0.32514444444444446</v>
      </c>
      <c r="O40" s="33" t="str">
        <f>VLOOKUP(C40,Cadastro!A:I,9,0)</f>
        <v>ICVM 476</v>
      </c>
      <c r="R40" s="38">
        <v>14941</v>
      </c>
      <c r="S40" s="38">
        <v>0</v>
      </c>
      <c r="T40" s="38">
        <v>14322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90000</v>
      </c>
      <c r="AB40" s="38">
        <f t="shared" si="1"/>
        <v>29263</v>
      </c>
      <c r="AE40" s="40"/>
    </row>
    <row r="41" spans="1:31" ht="12.75" customHeight="1" x14ac:dyDescent="0.25">
      <c r="A41" s="17" t="str">
        <f>VLOOKUP(C41,Cadastro!A:I,2,0)</f>
        <v>CRI Rede Duque 444S</v>
      </c>
      <c r="B41" s="17" t="str">
        <f>VLOOKUP(C41,Cadastro!A:I,3,0)</f>
        <v>True Sec</v>
      </c>
      <c r="C41" s="32" t="s">
        <v>8</v>
      </c>
      <c r="D41" s="15" t="str">
        <f>VLOOKUP(C41,Cadastro!A:I,4,0)</f>
        <v>Logística</v>
      </c>
      <c r="E41" s="15" t="s">
        <v>6</v>
      </c>
      <c r="F41" s="14">
        <v>10584700.3028</v>
      </c>
      <c r="G41" s="16">
        <v>9.9786854399079895E-3</v>
      </c>
      <c r="H41" s="15" t="str">
        <f>VLOOKUP(C41,Cadastro!A:I,5,0)</f>
        <v>IPCA +</v>
      </c>
      <c r="I41" s="16">
        <f>VLOOKUP(C41,Cadastro!A:I,6,0)</f>
        <v>8.2000000000000003E-2</v>
      </c>
      <c r="J41" s="31">
        <f>VLOOKUP(C41,Cadastro!A:I,7,0)</f>
        <v>48841</v>
      </c>
      <c r="K41" s="30">
        <v>4.2672288518173076</v>
      </c>
      <c r="L41" s="15" t="str">
        <f>VLOOKUP(C41,Cadastro!A:I,8,0)</f>
        <v>mensal</v>
      </c>
      <c r="M41" s="29">
        <v>0.57910197230381877</v>
      </c>
      <c r="N41" s="49">
        <f t="shared" si="0"/>
        <v>0.32515555555555553</v>
      </c>
      <c r="O41" s="33" t="str">
        <f>VLOOKUP(C41,Cadastro!A:I,9,0)</f>
        <v>ICVM 476</v>
      </c>
      <c r="R41" s="38">
        <v>14881</v>
      </c>
      <c r="S41" s="38">
        <v>0</v>
      </c>
      <c r="T41" s="38">
        <v>14383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90000</v>
      </c>
      <c r="AB41" s="38">
        <f t="shared" si="1"/>
        <v>29264</v>
      </c>
      <c r="AE41" s="40"/>
    </row>
    <row r="42" spans="1:31" ht="12.75" customHeight="1" x14ac:dyDescent="0.25">
      <c r="A42" s="17" t="str">
        <f>VLOOKUP(C42,Cadastro!A:I,2,0)</f>
        <v>CRI Sanema</v>
      </c>
      <c r="B42" s="17" t="str">
        <f>VLOOKUP(C42,Cadastro!A:I,3,0)</f>
        <v>Opea Sec</v>
      </c>
      <c r="C42" s="32" t="s">
        <v>151</v>
      </c>
      <c r="D42" s="15" t="str">
        <f>VLOOKUP(C42,Cadastro!A:I,4,0)</f>
        <v>Infraestrutura</v>
      </c>
      <c r="E42" s="15" t="s">
        <v>6</v>
      </c>
      <c r="F42" s="14">
        <v>10177578.5108</v>
      </c>
      <c r="G42" s="16">
        <v>9.594872938667405E-3</v>
      </c>
      <c r="H42" s="15" t="str">
        <f>VLOOKUP(C42,Cadastro!A:I,5,0)</f>
        <v>IPCA +</v>
      </c>
      <c r="I42" s="16">
        <f>VLOOKUP(C42,Cadastro!A:I,6,0)</f>
        <v>8.9200000000000002E-2</v>
      </c>
      <c r="J42" s="31" t="str">
        <f>VLOOKUP(C42,Cadastro!A:I,7,0)</f>
        <v>31/08/2037</v>
      </c>
      <c r="K42" s="30">
        <v>5.3643907592004494</v>
      </c>
      <c r="L42" s="15" t="str">
        <f>VLOOKUP(C42,Cadastro!A:I,8,0)</f>
        <v>mensal</v>
      </c>
      <c r="M42" s="29">
        <v>0.63291139240506322</v>
      </c>
      <c r="N42" s="49">
        <f t="shared" si="0"/>
        <v>0.6</v>
      </c>
      <c r="O42" s="33" t="str">
        <f>VLOOKUP(C42,Cadastro!A:I,9,0)</f>
        <v>ICVM 476</v>
      </c>
      <c r="R42" s="38">
        <v>10314</v>
      </c>
      <c r="S42" s="38">
        <v>0</v>
      </c>
      <c r="T42" s="38">
        <v>0</v>
      </c>
      <c r="U42" s="38">
        <v>20000</v>
      </c>
      <c r="V42" s="38">
        <v>0</v>
      </c>
      <c r="W42" s="38">
        <v>0</v>
      </c>
      <c r="X42" s="38">
        <v>30686</v>
      </c>
      <c r="Y42" s="38">
        <v>0</v>
      </c>
      <c r="Z42" s="38">
        <v>59000</v>
      </c>
      <c r="AA42" s="38">
        <v>200000</v>
      </c>
      <c r="AB42" s="38">
        <f t="shared" si="1"/>
        <v>120000</v>
      </c>
      <c r="AE42" s="40"/>
    </row>
    <row r="43" spans="1:31" ht="12.75" customHeight="1" x14ac:dyDescent="0.25">
      <c r="A43" s="17" t="str">
        <f>VLOOKUP(C43,Cadastro!A:I,2,0)</f>
        <v>CRI Dot</v>
      </c>
      <c r="B43" s="17" t="str">
        <f>VLOOKUP(C43,Cadastro!A:I,3,0)</f>
        <v>Província</v>
      </c>
      <c r="C43" s="32" t="s">
        <v>163</v>
      </c>
      <c r="D43" s="15" t="str">
        <f>VLOOKUP(C43,Cadastro!A:I,4,0)</f>
        <v>Residencial</v>
      </c>
      <c r="E43" s="15" t="s">
        <v>6</v>
      </c>
      <c r="F43" s="14">
        <v>9038162.4436000008</v>
      </c>
      <c r="G43" s="16">
        <v>8.5206928301613423E-3</v>
      </c>
      <c r="H43" s="15" t="str">
        <f>VLOOKUP(C43,Cadastro!A:I,5,0)</f>
        <v>IPCA +</v>
      </c>
      <c r="I43" s="16">
        <f>VLOOKUP(C43,Cadastro!A:I,6,0)</f>
        <v>0.09</v>
      </c>
      <c r="J43" s="31" t="str">
        <f>VLOOKUP(C43,Cadastro!A:I,7,0)</f>
        <v>05/08/2025</v>
      </c>
      <c r="K43" s="30">
        <v>0.68528059768044525</v>
      </c>
      <c r="L43" s="15" t="str">
        <f>VLOOKUP(C43,Cadastro!A:I,8,0)</f>
        <v>mensal</v>
      </c>
      <c r="M43" s="29">
        <v>0.68772056827436434</v>
      </c>
      <c r="N43" s="49">
        <f t="shared" si="0"/>
        <v>1</v>
      </c>
      <c r="O43" s="33" t="str">
        <f>VLOOKUP(C43,Cadastro!A:I,9,0)</f>
        <v>ICVM 476</v>
      </c>
      <c r="R43" s="38">
        <v>8920</v>
      </c>
      <c r="S43" s="38">
        <v>0</v>
      </c>
      <c r="T43" s="38">
        <v>24080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33000</v>
      </c>
      <c r="AB43" s="38">
        <f t="shared" si="1"/>
        <v>33000</v>
      </c>
      <c r="AD43" s="41"/>
      <c r="AE43" s="40"/>
    </row>
    <row r="44" spans="1:31" ht="12.75" customHeight="1" x14ac:dyDescent="0.25">
      <c r="A44" s="17" t="str">
        <f>VLOOKUP(C44,Cadastro!A:I,2,0)</f>
        <v>CRI GPA 79S</v>
      </c>
      <c r="B44" s="17" t="str">
        <f>VLOOKUP(C44,Cadastro!A:I,3,0)</f>
        <v>Província</v>
      </c>
      <c r="C44" s="32" t="s">
        <v>15</v>
      </c>
      <c r="D44" s="15" t="str">
        <f>VLOOKUP(C44,Cadastro!A:I,4,0)</f>
        <v>Logística</v>
      </c>
      <c r="E44" s="15" t="s">
        <v>6</v>
      </c>
      <c r="F44" s="14">
        <v>8603674.0632000007</v>
      </c>
      <c r="G44" s="16">
        <v>8.1110805831183363E-3</v>
      </c>
      <c r="H44" s="15" t="str">
        <f>VLOOKUP(C44,Cadastro!A:I,5,0)</f>
        <v>IPCA +</v>
      </c>
      <c r="I44" s="16">
        <f>VLOOKUP(C44,Cadastro!A:I,6,0)</f>
        <v>5.7500000000000002E-2</v>
      </c>
      <c r="J44" s="31">
        <f>VLOOKUP(C44,Cadastro!A:I,7,0)</f>
        <v>49439</v>
      </c>
      <c r="K44" s="30">
        <v>5</v>
      </c>
      <c r="L44" s="15" t="str">
        <f>VLOOKUP(C44,Cadastro!A:I,8,0)</f>
        <v>mensal</v>
      </c>
      <c r="M44" s="29">
        <v>0.70764227642276423</v>
      </c>
      <c r="N44" s="49">
        <f t="shared" si="0"/>
        <v>6.9743083753937229E-2</v>
      </c>
      <c r="O44" s="33" t="str">
        <f>VLOOKUP(C44,Cadastro!A:I,9,0)</f>
        <v>ICVM 476</v>
      </c>
      <c r="R44" s="38">
        <v>9189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131755</v>
      </c>
      <c r="AB44" s="38">
        <f t="shared" si="1"/>
        <v>9189</v>
      </c>
      <c r="AE44" s="40"/>
    </row>
    <row r="45" spans="1:31" ht="12.75" customHeight="1" x14ac:dyDescent="0.25">
      <c r="A45" s="17" t="str">
        <f>VLOOKUP(C45,Cadastro!A:I,2,0)</f>
        <v>CRI PLANTA II 13E</v>
      </c>
      <c r="B45" s="17" t="str">
        <f>VLOOKUP(C45,Cadastro!A:I,3,0)</f>
        <v>Província</v>
      </c>
      <c r="C45" s="32" t="s">
        <v>158</v>
      </c>
      <c r="D45" s="15" t="str">
        <f>VLOOKUP(C45,Cadastro!A:I,4,0)</f>
        <v>Residencial</v>
      </c>
      <c r="E45" s="15" t="s">
        <v>6</v>
      </c>
      <c r="F45" s="14">
        <v>8483339.6488000005</v>
      </c>
      <c r="G45" s="16">
        <v>7.9976357774514742E-3</v>
      </c>
      <c r="H45" s="15" t="str">
        <f>VLOOKUP(C45,Cadastro!A:I,5,0)</f>
        <v>IPCA +</v>
      </c>
      <c r="I45" s="16">
        <f>VLOOKUP(C45,Cadastro!A:I,6,0)</f>
        <v>8.5000000000000006E-2</v>
      </c>
      <c r="J45" s="31">
        <f>VLOOKUP(C45,Cadastro!A:I,7,0)</f>
        <v>52072</v>
      </c>
      <c r="K45" s="30">
        <v>6.9136098161663746</v>
      </c>
      <c r="L45" s="15" t="str">
        <f>VLOOKUP(C45,Cadastro!A:I,8,0)</f>
        <v>mensal</v>
      </c>
      <c r="M45" s="29">
        <v>0.475511174512601</v>
      </c>
      <c r="N45" s="49">
        <f t="shared" si="0"/>
        <v>0.12222</v>
      </c>
      <c r="O45" s="33" t="str">
        <f>VLOOKUP(C45,Cadastro!A:I,9,0)</f>
        <v>ICVM 476</v>
      </c>
      <c r="R45" s="38">
        <v>8628</v>
      </c>
      <c r="S45" s="38">
        <v>0</v>
      </c>
      <c r="T45" s="38">
        <v>1298</v>
      </c>
      <c r="U45" s="38">
        <v>2296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100000</v>
      </c>
      <c r="AB45" s="38">
        <f t="shared" si="1"/>
        <v>12222</v>
      </c>
      <c r="AE45" s="40"/>
    </row>
    <row r="46" spans="1:31" ht="12.75" customHeight="1" x14ac:dyDescent="0.25">
      <c r="A46" s="17" t="str">
        <f>VLOOKUP(C46,Cadastro!A:I,2,0)</f>
        <v>CRI SER Educacional 284S</v>
      </c>
      <c r="B46" s="17" t="str">
        <f>VLOOKUP(C46,Cadastro!A:I,3,0)</f>
        <v>True Sec</v>
      </c>
      <c r="C46" s="32" t="s">
        <v>16</v>
      </c>
      <c r="D46" s="15" t="str">
        <f>VLOOKUP(C46,Cadastro!A:I,4,0)</f>
        <v>Educação</v>
      </c>
      <c r="E46" s="15" t="s">
        <v>9</v>
      </c>
      <c r="F46" s="14">
        <v>8119769.5279999999</v>
      </c>
      <c r="G46" s="16">
        <v>7.6548814464806811E-3</v>
      </c>
      <c r="H46" s="15" t="str">
        <f>VLOOKUP(C46,Cadastro!A:I,5,0)</f>
        <v>IGPM +</v>
      </c>
      <c r="I46" s="16">
        <f>VLOOKUP(C46,Cadastro!A:I,6,0)</f>
        <v>7.0000000000000007E-2</v>
      </c>
      <c r="J46" s="31">
        <f>VLOOKUP(C46,Cadastro!A:I,7,0)</f>
        <v>47918</v>
      </c>
      <c r="K46" s="30">
        <v>3</v>
      </c>
      <c r="L46" s="15" t="str">
        <f>VLOOKUP(C46,Cadastro!A:I,8,0)</f>
        <v>mensal</v>
      </c>
      <c r="M46" s="29">
        <v>0.73529411764705876</v>
      </c>
      <c r="N46" s="49">
        <f t="shared" si="0"/>
        <v>1</v>
      </c>
      <c r="O46" s="33" t="str">
        <f>VLOOKUP(C46,Cadastro!A:I,9,0)</f>
        <v>ICVM 476</v>
      </c>
      <c r="R46" s="38">
        <v>9900327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9900327</v>
      </c>
      <c r="AB46" s="38">
        <f t="shared" si="1"/>
        <v>9900327</v>
      </c>
      <c r="AE46" s="40"/>
    </row>
    <row r="47" spans="1:31" ht="12.75" customHeight="1" x14ac:dyDescent="0.25">
      <c r="A47" s="17" t="str">
        <f>VLOOKUP(C47,Cadastro!A:I,2,0)</f>
        <v>CRI HUB Pinheiros</v>
      </c>
      <c r="B47" s="17" t="str">
        <f>VLOOKUP(C47,Cadastro!A:I,3,0)</f>
        <v>Província</v>
      </c>
      <c r="C47" s="32" t="s">
        <v>11</v>
      </c>
      <c r="D47" s="15" t="str">
        <f>VLOOKUP(C47,Cadastro!A:I,4,0)</f>
        <v>Escritório</v>
      </c>
      <c r="E47" s="15" t="s">
        <v>6</v>
      </c>
      <c r="F47" s="14">
        <v>7388397.6650999999</v>
      </c>
      <c r="G47" s="16">
        <v>6.9653834398580453E-3</v>
      </c>
      <c r="H47" s="15" t="str">
        <f>VLOOKUP(C47,Cadastro!A:I,5,0)</f>
        <v>IPCA +</v>
      </c>
      <c r="I47" s="16">
        <f>VLOOKUP(C47,Cadastro!A:I,6,0)</f>
        <v>9.5000000000000001E-2</v>
      </c>
      <c r="J47" s="31">
        <f>VLOOKUP(C47,Cadastro!A:I,7,0)</f>
        <v>46483</v>
      </c>
      <c r="K47" s="30">
        <v>2.437345722582235</v>
      </c>
      <c r="L47" s="15" t="str">
        <f>VLOOKUP(C47,Cadastro!A:I,8,0)</f>
        <v>mensal</v>
      </c>
      <c r="M47" s="29">
        <v>0.26595744680851063</v>
      </c>
      <c r="N47" s="49">
        <f t="shared" si="0"/>
        <v>1</v>
      </c>
      <c r="O47" s="33" t="str">
        <f>VLOOKUP(C47,Cadastro!A:I,9,0)</f>
        <v>ICVM 476</v>
      </c>
      <c r="R47" s="38">
        <v>7500</v>
      </c>
      <c r="S47" s="38">
        <v>0</v>
      </c>
      <c r="T47" s="38">
        <v>2500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10000</v>
      </c>
      <c r="AB47" s="38">
        <f t="shared" si="1"/>
        <v>10000</v>
      </c>
      <c r="AE47" s="40"/>
    </row>
    <row r="48" spans="1:31" ht="12.75" customHeight="1" x14ac:dyDescent="0.25">
      <c r="A48" s="17" t="str">
        <f>VLOOKUP(C48,Cadastro!A:I,2,0)</f>
        <v>CRI PG Rodrigues Alves</v>
      </c>
      <c r="B48" s="17" t="str">
        <f>VLOOKUP(C48,Cadastro!A:I,3,0)</f>
        <v>Província</v>
      </c>
      <c r="C48" s="32" t="s">
        <v>13</v>
      </c>
      <c r="D48" s="15" t="str">
        <f>VLOOKUP(C48,Cadastro!A:I,4,0)</f>
        <v>Residencial</v>
      </c>
      <c r="E48" s="15" t="s">
        <v>6</v>
      </c>
      <c r="F48" s="14">
        <v>5614530.5999999996</v>
      </c>
      <c r="G48" s="16">
        <v>5.2930770968845717E-3</v>
      </c>
      <c r="H48" s="15" t="str">
        <f>VLOOKUP(C48,Cadastro!A:I,5,0)</f>
        <v>IPCA +</v>
      </c>
      <c r="I48" s="16">
        <f>VLOOKUP(C48,Cadastro!A:I,6,0)</f>
        <v>0.1</v>
      </c>
      <c r="J48" s="31">
        <f>VLOOKUP(C48,Cadastro!A:I,7,0)</f>
        <v>45806</v>
      </c>
      <c r="K48" s="30">
        <v>0.8</v>
      </c>
      <c r="L48" s="15" t="str">
        <f>VLOOKUP(C48,Cadastro!A:I,8,0)</f>
        <v>mensal</v>
      </c>
      <c r="M48" s="29">
        <v>0.4</v>
      </c>
      <c r="N48" s="49">
        <f t="shared" si="0"/>
        <v>1</v>
      </c>
      <c r="O48" s="33" t="str">
        <f>VLOOKUP(C48,Cadastro!A:I,9,0)</f>
        <v>ICVM 476</v>
      </c>
      <c r="R48" s="38">
        <v>7000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7000</v>
      </c>
      <c r="AB48" s="38">
        <f t="shared" si="1"/>
        <v>7000</v>
      </c>
      <c r="AD48" s="41"/>
      <c r="AE48" s="40"/>
    </row>
    <row r="49" spans="1:31" ht="12.75" customHeight="1" x14ac:dyDescent="0.25">
      <c r="A49" s="17" t="str">
        <f>VLOOKUP(C49,Cadastro!A:I,2,0)</f>
        <v>CRI Ditolvo 37E</v>
      </c>
      <c r="B49" s="17" t="str">
        <f>VLOOKUP(C49,Cadastro!A:I,3,0)</f>
        <v xml:space="preserve">Habitasec </v>
      </c>
      <c r="C49" s="32" t="s">
        <v>143</v>
      </c>
      <c r="D49" s="15" t="str">
        <f>VLOOKUP(C49,Cadastro!A:I,4,0)</f>
        <v>Residencial</v>
      </c>
      <c r="E49" s="15" t="s">
        <v>6</v>
      </c>
      <c r="F49" s="14">
        <v>5401009.6196999997</v>
      </c>
      <c r="G49" s="16">
        <v>5.0917810151550908E-3</v>
      </c>
      <c r="H49" s="15" t="str">
        <f>VLOOKUP(C49,Cadastro!A:I,5,0)</f>
        <v>IPCA +</v>
      </c>
      <c r="I49" s="16">
        <f>VLOOKUP(C49,Cadastro!A:I,6,0)</f>
        <v>0.1</v>
      </c>
      <c r="J49" s="31">
        <f>VLOOKUP(C49,Cadastro!A:I,7,0)</f>
        <v>47786</v>
      </c>
      <c r="K49" s="30">
        <v>3.3156178958097144</v>
      </c>
      <c r="L49" s="15" t="str">
        <f>VLOOKUP(C49,Cadastro!A:I,8,0)</f>
        <v>mensal</v>
      </c>
      <c r="M49" s="29">
        <v>0.70921985815602839</v>
      </c>
      <c r="N49" s="49">
        <f t="shared" si="0"/>
        <v>1</v>
      </c>
      <c r="O49" s="33" t="str">
        <f>VLOOKUP(C49,Cadastro!A:I,9,0)</f>
        <v>ICVM 160</v>
      </c>
      <c r="R49" s="38">
        <v>5800</v>
      </c>
      <c r="S49" s="38">
        <v>0</v>
      </c>
      <c r="T49" s="38">
        <v>9200</v>
      </c>
      <c r="U49" s="38">
        <v>7000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22000</v>
      </c>
      <c r="AB49" s="38">
        <f t="shared" si="1"/>
        <v>22000</v>
      </c>
      <c r="AE49" s="40"/>
    </row>
    <row r="50" spans="1:31" ht="12.75" customHeight="1" x14ac:dyDescent="0.25">
      <c r="A50" s="17" t="str">
        <f>VLOOKUP(C50,Cadastro!A:I,2,0)</f>
        <v>CRI Francisco Leitão 14S</v>
      </c>
      <c r="B50" s="17" t="str">
        <f>VLOOKUP(C50,Cadastro!A:I,3,0)</f>
        <v>Província</v>
      </c>
      <c r="C50" s="32" t="s">
        <v>23</v>
      </c>
      <c r="D50" s="15" t="str">
        <f>VLOOKUP(C50,Cadastro!A:I,4,0)</f>
        <v>Residencial</v>
      </c>
      <c r="E50" s="15" t="s">
        <v>6</v>
      </c>
      <c r="F50" s="14">
        <v>4735109.9093000004</v>
      </c>
      <c r="G50" s="16">
        <v>4.4640066281136691E-3</v>
      </c>
      <c r="H50" s="15" t="str">
        <f>VLOOKUP(C50,Cadastro!A:I,5,0)</f>
        <v>IPCA +</v>
      </c>
      <c r="I50" s="16">
        <f>VLOOKUP(C50,Cadastro!A:I,6,0)</f>
        <v>8.5000000000000006E-2</v>
      </c>
      <c r="J50" s="31" t="str">
        <f>VLOOKUP(C50,Cadastro!A:I,7,0)</f>
        <v>28/08/2025</v>
      </c>
      <c r="K50" s="30">
        <v>1.1000000000000001</v>
      </c>
      <c r="L50" s="15" t="str">
        <f>VLOOKUP(C50,Cadastro!A:I,8,0)</f>
        <v>mensal</v>
      </c>
      <c r="M50" s="29">
        <v>0.50505050505050508</v>
      </c>
      <c r="N50" s="49">
        <f t="shared" si="0"/>
        <v>1</v>
      </c>
      <c r="O50" s="33" t="str">
        <f>VLOOKUP(C50,Cadastro!A:I,9,0)</f>
        <v>ICVM 476</v>
      </c>
      <c r="R50" s="38">
        <v>10977</v>
      </c>
      <c r="S50" s="38">
        <v>0</v>
      </c>
      <c r="T50" s="38">
        <v>2863</v>
      </c>
      <c r="U50" s="38">
        <v>11160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25000</v>
      </c>
      <c r="AB50" s="38">
        <f t="shared" si="1"/>
        <v>25000</v>
      </c>
      <c r="AE50" s="40"/>
    </row>
    <row r="51" spans="1:31" ht="12.75" customHeight="1" x14ac:dyDescent="0.25">
      <c r="A51" s="17" t="str">
        <f>VLOOKUP(C51,Cadastro!A:I,2,0)</f>
        <v>CRI Francisco Leitão 15S</v>
      </c>
      <c r="B51" s="17" t="str">
        <f>VLOOKUP(C51,Cadastro!A:I,3,0)</f>
        <v>Província</v>
      </c>
      <c r="C51" s="32" t="s">
        <v>22</v>
      </c>
      <c r="D51" s="15" t="str">
        <f>VLOOKUP(C51,Cadastro!A:I,4,0)</f>
        <v>Residencial</v>
      </c>
      <c r="E51" s="15" t="s">
        <v>6</v>
      </c>
      <c r="F51" s="14">
        <v>4735109.9093000004</v>
      </c>
      <c r="G51" s="16">
        <v>4.4640066281136691E-3</v>
      </c>
      <c r="H51" s="15" t="str">
        <f>VLOOKUP(C51,Cadastro!A:I,5,0)</f>
        <v>IPCA +</v>
      </c>
      <c r="I51" s="16">
        <f>VLOOKUP(C51,Cadastro!A:I,6,0)</f>
        <v>8.5000000000000006E-2</v>
      </c>
      <c r="J51" s="31" t="str">
        <f>VLOOKUP(C51,Cadastro!A:I,7,0)</f>
        <v>28/08/2025</v>
      </c>
      <c r="K51" s="30">
        <v>1.1000000000000001</v>
      </c>
      <c r="L51" s="15" t="str">
        <f>VLOOKUP(C51,Cadastro!A:I,8,0)</f>
        <v>mensal</v>
      </c>
      <c r="M51" s="29">
        <v>0.50505050505050508</v>
      </c>
      <c r="N51" s="49">
        <f t="shared" si="0"/>
        <v>1</v>
      </c>
      <c r="O51" s="33" t="str">
        <f>VLOOKUP(C51,Cadastro!A:I,9,0)</f>
        <v>ICVM 476</v>
      </c>
      <c r="R51" s="38">
        <v>10977</v>
      </c>
      <c r="S51" s="38">
        <v>0</v>
      </c>
      <c r="T51" s="38">
        <v>2863</v>
      </c>
      <c r="U51" s="38">
        <v>11160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25000</v>
      </c>
      <c r="AB51" s="38">
        <f t="shared" si="1"/>
        <v>25000</v>
      </c>
      <c r="AE51" s="40"/>
    </row>
    <row r="52" spans="1:31" ht="12.75" customHeight="1" x14ac:dyDescent="0.25">
      <c r="A52" s="17" t="str">
        <f>VLOOKUP(C52,Cadastro!A:I,2,0)</f>
        <v>CRI GPA 83S</v>
      </c>
      <c r="B52" s="17" t="str">
        <f>VLOOKUP(C52,Cadastro!A:I,3,0)</f>
        <v>Bari Sec</v>
      </c>
      <c r="C52" s="32" t="s">
        <v>10</v>
      </c>
      <c r="D52" s="15" t="str">
        <f>VLOOKUP(C52,Cadastro!A:I,4,0)</f>
        <v>Logística</v>
      </c>
      <c r="E52" s="15" t="s">
        <v>6</v>
      </c>
      <c r="F52" s="14">
        <v>4624989.8366999999</v>
      </c>
      <c r="G52" s="16">
        <v>4.3601913538347595E-3</v>
      </c>
      <c r="H52" s="15" t="str">
        <f>VLOOKUP(C52,Cadastro!A:I,5,0)</f>
        <v>IPCA +</v>
      </c>
      <c r="I52" s="16">
        <f>VLOOKUP(C52,Cadastro!A:I,6,0)</f>
        <v>0.05</v>
      </c>
      <c r="J52" s="31">
        <f>VLOOKUP(C52,Cadastro!A:I,7,0)</f>
        <v>49500</v>
      </c>
      <c r="K52" s="30">
        <v>5.102917272642804</v>
      </c>
      <c r="L52" s="15" t="str">
        <f>VLOOKUP(C52,Cadastro!A:I,8,0)</f>
        <v>mensal</v>
      </c>
      <c r="M52" s="29">
        <v>0.77169459962756037</v>
      </c>
      <c r="N52" s="49">
        <f t="shared" si="0"/>
        <v>2.3444244560944908E-2</v>
      </c>
      <c r="O52" s="33" t="str">
        <f>VLOOKUP(C52,Cadastro!A:I,9,0)</f>
        <v>ICVM 476</v>
      </c>
      <c r="R52" s="38">
        <v>4861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207343</v>
      </c>
      <c r="AB52" s="38">
        <f t="shared" si="1"/>
        <v>4861</v>
      </c>
      <c r="AE52" s="40"/>
    </row>
    <row r="53" spans="1:31" ht="12.75" customHeight="1" x14ac:dyDescent="0.25">
      <c r="A53" s="17" t="str">
        <f>VLOOKUP(C53,Cadastro!A:I,2,0)</f>
        <v>CRI AL Cambuí</v>
      </c>
      <c r="B53" s="17" t="str">
        <f>VLOOKUP(C53,Cadastro!A:I,3,0)</f>
        <v>Província</v>
      </c>
      <c r="C53" s="32" t="s">
        <v>12</v>
      </c>
      <c r="D53" s="15" t="str">
        <f>VLOOKUP(C53,Cadastro!A:I,4,0)</f>
        <v>Residencial</v>
      </c>
      <c r="E53" s="15" t="s">
        <v>6</v>
      </c>
      <c r="F53" s="14">
        <v>3911558.3432999998</v>
      </c>
      <c r="G53" s="16">
        <v>3.6876065614548413E-3</v>
      </c>
      <c r="H53" s="15" t="str">
        <f>VLOOKUP(C53,Cadastro!A:I,5,0)</f>
        <v>IPCA +</v>
      </c>
      <c r="I53" s="16">
        <f>VLOOKUP(C53,Cadastro!A:I,6,0)</f>
        <v>8.5000000000000006E-2</v>
      </c>
      <c r="J53" s="31">
        <f>VLOOKUP(C53,Cadastro!A:I,7,0)</f>
        <v>45960</v>
      </c>
      <c r="K53" s="30">
        <v>1.2</v>
      </c>
      <c r="L53" s="15" t="str">
        <f>VLOOKUP(C53,Cadastro!A:I,8,0)</f>
        <v>mensal</v>
      </c>
      <c r="M53" s="29">
        <v>0.42016806722689076</v>
      </c>
      <c r="N53" s="49">
        <f t="shared" si="0"/>
        <v>1</v>
      </c>
      <c r="O53" s="33" t="str">
        <f>VLOOKUP(C53,Cadastro!A:I,9,0)</f>
        <v>ICVM 476</v>
      </c>
      <c r="R53" s="38">
        <v>6250</v>
      </c>
      <c r="S53" s="38">
        <v>0</v>
      </c>
      <c r="T53" s="38">
        <v>3500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9750</v>
      </c>
      <c r="AB53" s="38">
        <f t="shared" si="1"/>
        <v>9750</v>
      </c>
      <c r="AE53" s="40"/>
    </row>
    <row r="54" spans="1:31" ht="12.75" customHeight="1" x14ac:dyDescent="0.25">
      <c r="A54" s="17" t="str">
        <f>VLOOKUP(C54,Cadastro!A:I,2,0)</f>
        <v>CRI Square Bertioga</v>
      </c>
      <c r="B54" s="17" t="str">
        <f>VLOOKUP(C54,Cadastro!A:I,3,0)</f>
        <v>Província</v>
      </c>
      <c r="C54" s="32" t="s">
        <v>159</v>
      </c>
      <c r="D54" s="15" t="str">
        <f>VLOOKUP(C54,Cadastro!A:I,4,0)</f>
        <v>Residencial</v>
      </c>
      <c r="E54" s="15" t="s">
        <v>6</v>
      </c>
      <c r="F54" s="14">
        <v>1806117.7472999999</v>
      </c>
      <c r="G54" s="16">
        <v>1.7027105493931027E-3</v>
      </c>
      <c r="H54" s="15" t="str">
        <f>VLOOKUP(C54,Cadastro!A:I,5,0)</f>
        <v>IPCA +</v>
      </c>
      <c r="I54" s="16">
        <f>VLOOKUP(C54,Cadastro!A:I,6,0)</f>
        <v>0.09</v>
      </c>
      <c r="J54" s="31">
        <f>VLOOKUP(C54,Cadastro!A:I,7,0)</f>
        <v>45996</v>
      </c>
      <c r="K54" s="30">
        <v>1.3552580891673307</v>
      </c>
      <c r="L54" s="15" t="str">
        <f>VLOOKUP(C54,Cadastro!A:I,8,0)</f>
        <v>mensal</v>
      </c>
      <c r="M54" s="29">
        <v>0.15233608869703838</v>
      </c>
      <c r="N54" s="49">
        <f t="shared" si="0"/>
        <v>0.1205909090909091</v>
      </c>
      <c r="O54" s="33" t="str">
        <f>VLOOKUP(C54,Cadastro!A:I,9,0)</f>
        <v>ICVM 476</v>
      </c>
      <c r="R54" s="38">
        <v>1905</v>
      </c>
      <c r="S54" s="38">
        <v>0</v>
      </c>
      <c r="T54" s="38">
        <v>3401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44000</v>
      </c>
      <c r="AB54" s="38">
        <f t="shared" si="1"/>
        <v>5306</v>
      </c>
      <c r="AE54" s="40"/>
    </row>
    <row r="55" spans="1:31" ht="12.75" customHeight="1" x14ac:dyDescent="0.25">
      <c r="A55" s="17" t="str">
        <f>VLOOKUP(C55,Cadastro!A:I,2,0)</f>
        <v>CRI Dot 2S</v>
      </c>
      <c r="B55" s="17" t="str">
        <f>VLOOKUP(C55,Cadastro!A:I,3,0)</f>
        <v>Província</v>
      </c>
      <c r="C55" s="32" t="s">
        <v>148</v>
      </c>
      <c r="D55" s="15" t="str">
        <f>VLOOKUP(C55,Cadastro!A:I,4,0)</f>
        <v>Residencial</v>
      </c>
      <c r="E55" s="15" t="s">
        <v>6</v>
      </c>
      <c r="F55" s="14">
        <v>1521565.5748000001</v>
      </c>
      <c r="G55" s="16">
        <v>1.4344500848177564E-3</v>
      </c>
      <c r="H55" s="15" t="str">
        <f>VLOOKUP(C55,Cadastro!A:I,5,0)</f>
        <v>IPCA +</v>
      </c>
      <c r="I55" s="16">
        <f>VLOOKUP(C55,Cadastro!A:I,6,0)</f>
        <v>0.09</v>
      </c>
      <c r="J55" s="31" t="str">
        <f>VLOOKUP(C55,Cadastro!A:I,7,0)</f>
        <v>05/08/2025</v>
      </c>
      <c r="K55" s="30">
        <v>1.0461032581335026</v>
      </c>
      <c r="L55" s="15" t="str">
        <f>VLOOKUP(C55,Cadastro!A:I,8,0)</f>
        <v>mensal</v>
      </c>
      <c r="M55" s="29">
        <v>0.68772056827436434</v>
      </c>
      <c r="N55" s="49">
        <f t="shared" si="0"/>
        <v>1</v>
      </c>
      <c r="O55" s="33" t="str">
        <f>VLOOKUP(C55,Cadastro!A:I,9,0)</f>
        <v>ICVM 160</v>
      </c>
      <c r="R55" s="38">
        <v>1544</v>
      </c>
      <c r="S55" s="38">
        <v>0</v>
      </c>
      <c r="T55" s="38">
        <v>2134</v>
      </c>
      <c r="U55" s="38">
        <v>1322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5000</v>
      </c>
      <c r="AB55" s="38">
        <f t="shared" si="1"/>
        <v>5000</v>
      </c>
      <c r="AE55" s="40"/>
    </row>
    <row r="56" spans="1:31" ht="12.75" customHeight="1" x14ac:dyDescent="0.25">
      <c r="A56" s="17"/>
      <c r="B56" s="17"/>
      <c r="C56" s="32"/>
      <c r="D56" s="15"/>
      <c r="E56" s="15"/>
      <c r="F56" s="14"/>
      <c r="G56" s="16"/>
      <c r="H56" s="15"/>
      <c r="I56" s="16"/>
      <c r="J56" s="31"/>
      <c r="K56" s="30"/>
      <c r="L56" s="15"/>
      <c r="M56" s="29"/>
      <c r="N56" s="49"/>
      <c r="O56" s="33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E56" s="40"/>
    </row>
    <row r="57" spans="1:31" ht="12.75" customHeight="1" x14ac:dyDescent="0.25">
      <c r="A57" s="17"/>
      <c r="B57" s="17"/>
      <c r="C57" s="32"/>
      <c r="D57" s="15"/>
      <c r="E57" s="15"/>
      <c r="F57" s="14"/>
      <c r="G57" s="16"/>
      <c r="H57" s="15"/>
      <c r="I57" s="16"/>
      <c r="J57" s="31"/>
      <c r="K57" s="30"/>
      <c r="L57" s="15"/>
      <c r="M57" s="29"/>
      <c r="N57" s="39"/>
      <c r="O57" s="33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31" ht="12.75" customHeight="1" x14ac:dyDescent="0.25">
      <c r="A58" s="17"/>
      <c r="B58" s="17"/>
      <c r="C58" s="32"/>
      <c r="D58" s="15"/>
      <c r="E58" s="15"/>
      <c r="F58" s="14"/>
      <c r="G58" s="16"/>
      <c r="H58" s="15"/>
      <c r="I58" s="16"/>
      <c r="J58" s="31"/>
      <c r="K58" s="30"/>
      <c r="L58" s="15"/>
      <c r="M58" s="29"/>
      <c r="N58" s="39" t="s">
        <v>134</v>
      </c>
      <c r="O58" s="33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31" ht="12.75" customHeight="1" x14ac:dyDescent="0.25">
      <c r="A59" s="28"/>
      <c r="B59" s="27"/>
      <c r="C59" s="26"/>
      <c r="D59" s="24"/>
      <c r="E59" s="24"/>
      <c r="F59" s="25"/>
      <c r="G59" s="16"/>
      <c r="H59" s="24"/>
      <c r="I59" s="16"/>
      <c r="J59" s="23"/>
      <c r="K59" s="22"/>
      <c r="L59" s="12"/>
      <c r="M59" s="9"/>
      <c r="N59" s="21"/>
      <c r="O59" s="20"/>
    </row>
    <row r="60" spans="1:31" x14ac:dyDescent="0.25">
      <c r="A60" s="11" t="s">
        <v>5</v>
      </c>
      <c r="B60" s="19"/>
      <c r="C60" s="18"/>
      <c r="D60" s="18"/>
      <c r="E60" s="18"/>
      <c r="F60" s="51">
        <v>1093432195.8383005</v>
      </c>
      <c r="G60" s="52">
        <f>F60/F64</f>
        <v>1.0308289909022694</v>
      </c>
      <c r="H60" s="18"/>
      <c r="I60" s="16"/>
      <c r="J60" s="13"/>
      <c r="K60" s="13"/>
      <c r="L60" s="10"/>
      <c r="M60" s="9"/>
      <c r="R60" s="40"/>
      <c r="W60" s="40"/>
    </row>
    <row r="61" spans="1:31" ht="12.75" customHeight="1" x14ac:dyDescent="0.25">
      <c r="A61" s="17" t="s">
        <v>4</v>
      </c>
      <c r="B61" s="17"/>
      <c r="C61" s="15"/>
      <c r="D61" s="15"/>
      <c r="E61" s="15"/>
      <c r="F61" s="14">
        <v>9784154.9299999997</v>
      </c>
      <c r="G61" s="16"/>
      <c r="H61" s="15"/>
      <c r="I61" s="15"/>
      <c r="J61" s="14"/>
      <c r="K61" s="13"/>
      <c r="L61" s="12"/>
      <c r="M61" s="9"/>
    </row>
    <row r="62" spans="1:31" ht="12.75" customHeight="1" x14ac:dyDescent="0.25">
      <c r="A62" s="17" t="s">
        <v>3</v>
      </c>
      <c r="B62" s="17"/>
      <c r="C62" s="15"/>
      <c r="D62" s="15"/>
      <c r="E62" s="15"/>
      <c r="F62" s="55">
        <v>-42485419.170000002</v>
      </c>
      <c r="G62" s="16"/>
      <c r="H62" s="15"/>
      <c r="I62" s="15"/>
      <c r="J62" s="14"/>
      <c r="K62" s="13"/>
      <c r="L62" s="12"/>
      <c r="M62" s="9"/>
    </row>
    <row r="63" spans="1:31" ht="12.75" customHeight="1" x14ac:dyDescent="0.25">
      <c r="A63" s="17" t="s">
        <v>2</v>
      </c>
      <c r="B63" s="42"/>
      <c r="C63" s="43"/>
      <c r="D63" s="43"/>
      <c r="E63" s="43"/>
      <c r="F63" s="55">
        <v>-32701264.240000002</v>
      </c>
      <c r="G63" s="53">
        <f>F63/F64</f>
        <v>-3.0828990902269635E-2</v>
      </c>
      <c r="H63" s="43"/>
      <c r="I63" s="42"/>
      <c r="J63" s="42"/>
      <c r="K63" s="44"/>
      <c r="M63" s="9"/>
    </row>
    <row r="64" spans="1:31" ht="24" customHeight="1" x14ac:dyDescent="0.25">
      <c r="A64" s="11" t="s">
        <v>1</v>
      </c>
      <c r="B64" s="45"/>
      <c r="C64" s="46"/>
      <c r="D64" s="46"/>
      <c r="E64" s="46"/>
      <c r="F64" s="58">
        <v>1060730931.5983006</v>
      </c>
      <c r="G64" s="52">
        <v>1</v>
      </c>
      <c r="H64" s="46"/>
      <c r="I64" s="47"/>
      <c r="J64" s="11" t="s">
        <v>0</v>
      </c>
      <c r="K64" s="48">
        <f>SUMPRODUCT(K6:K57,F6:F57)/(F60)</f>
        <v>4.0433328890046338</v>
      </c>
      <c r="L64" s="10"/>
      <c r="M64" s="9"/>
      <c r="P64" s="54"/>
      <c r="T64" s="50"/>
    </row>
    <row r="65" spans="6:23" x14ac:dyDescent="0.25">
      <c r="F65" s="8"/>
      <c r="J65" s="7"/>
      <c r="K65" s="6"/>
      <c r="M65" s="3"/>
      <c r="T65" s="50"/>
    </row>
    <row r="66" spans="6:23" x14ac:dyDescent="0.25">
      <c r="F66" s="5"/>
      <c r="J66" s="3"/>
      <c r="K66" s="3"/>
      <c r="M66" s="3"/>
      <c r="S66" s="41"/>
      <c r="T66" s="50"/>
    </row>
    <row r="67" spans="6:23" x14ac:dyDescent="0.25">
      <c r="F67" s="4"/>
      <c r="J67" s="3"/>
      <c r="K67" s="3"/>
      <c r="M67" s="3"/>
      <c r="S67" s="41"/>
      <c r="T67" s="50"/>
    </row>
    <row r="69" spans="6:23" x14ac:dyDescent="0.25">
      <c r="T69" s="50"/>
    </row>
    <row r="70" spans="6:23" x14ac:dyDescent="0.25">
      <c r="F70" s="5"/>
    </row>
    <row r="71" spans="6:23" x14ac:dyDescent="0.25">
      <c r="T71" s="50"/>
    </row>
    <row r="72" spans="6:23" x14ac:dyDescent="0.25">
      <c r="T72" s="50"/>
    </row>
    <row r="73" spans="6:23" x14ac:dyDescent="0.25">
      <c r="T73" s="50"/>
    </row>
    <row r="74" spans="6:23" x14ac:dyDescent="0.25">
      <c r="T74" s="50"/>
    </row>
    <row r="75" spans="6:23" x14ac:dyDescent="0.25">
      <c r="T75" s="50"/>
    </row>
    <row r="76" spans="6:23" x14ac:dyDescent="0.25">
      <c r="T76" s="50"/>
    </row>
    <row r="77" spans="6:23" x14ac:dyDescent="0.25">
      <c r="T77" s="50"/>
    </row>
    <row r="78" spans="6:23" x14ac:dyDescent="0.25">
      <c r="R78" s="50"/>
      <c r="T78" s="50"/>
      <c r="W78" s="50"/>
    </row>
    <row r="79" spans="6:23" x14ac:dyDescent="0.25">
      <c r="R79" s="50"/>
      <c r="T79" s="50"/>
      <c r="W79" s="50"/>
    </row>
    <row r="80" spans="6:23" x14ac:dyDescent="0.25">
      <c r="R80" s="50"/>
      <c r="T80" s="50"/>
      <c r="W80" s="50"/>
    </row>
    <row r="81" spans="2:23" x14ac:dyDescent="0.25">
      <c r="R81" s="50"/>
      <c r="T81" s="50"/>
      <c r="W81" s="50"/>
    </row>
    <row r="82" spans="2:23" x14ac:dyDescent="0.25">
      <c r="R82" s="50"/>
      <c r="T82" s="50"/>
      <c r="W82" s="50"/>
    </row>
    <row r="83" spans="2:23" x14ac:dyDescent="0.25">
      <c r="B83" s="41"/>
      <c r="R83" s="50"/>
      <c r="T83" s="50"/>
      <c r="W83" s="50"/>
    </row>
    <row r="84" spans="2:23" x14ac:dyDescent="0.25">
      <c r="B84" s="41"/>
      <c r="R84" s="50"/>
      <c r="T84" s="50"/>
      <c r="W84" s="50"/>
    </row>
    <row r="85" spans="2:23" x14ac:dyDescent="0.25">
      <c r="R85" s="50"/>
      <c r="T85" s="50"/>
      <c r="W85" s="50"/>
    </row>
    <row r="86" spans="2:23" x14ac:dyDescent="0.25">
      <c r="R86" s="50"/>
      <c r="T86" s="50"/>
      <c r="W86" s="50"/>
    </row>
    <row r="87" spans="2:23" x14ac:dyDescent="0.25">
      <c r="R87" s="50"/>
      <c r="T87" s="50"/>
      <c r="W87" s="50"/>
    </row>
    <row r="88" spans="2:23" x14ac:dyDescent="0.25">
      <c r="R88" s="50"/>
      <c r="T88" s="50"/>
      <c r="W88" s="50"/>
    </row>
    <row r="89" spans="2:23" x14ac:dyDescent="0.25">
      <c r="R89" s="50"/>
      <c r="T89" s="50"/>
      <c r="W89" s="50"/>
    </row>
    <row r="90" spans="2:23" x14ac:dyDescent="0.25">
      <c r="R90" s="50"/>
      <c r="T90" s="50"/>
      <c r="W90" s="50"/>
    </row>
    <row r="91" spans="2:23" x14ac:dyDescent="0.25">
      <c r="R91" s="50"/>
      <c r="T91" s="50"/>
      <c r="W91" s="50"/>
    </row>
    <row r="92" spans="2:23" x14ac:dyDescent="0.25">
      <c r="R92" s="50"/>
      <c r="S92" s="41"/>
      <c r="T92" s="50"/>
      <c r="W92" s="50"/>
    </row>
    <row r="93" spans="2:23" x14ac:dyDescent="0.25">
      <c r="R93" s="50"/>
      <c r="T93" s="50"/>
      <c r="W93" s="50"/>
    </row>
    <row r="94" spans="2:23" x14ac:dyDescent="0.25">
      <c r="R94" s="50"/>
      <c r="T94" s="50"/>
      <c r="W94" s="50"/>
    </row>
    <row r="95" spans="2:23" x14ac:dyDescent="0.25">
      <c r="R95" s="50"/>
      <c r="T95" s="50"/>
      <c r="W95" s="50"/>
    </row>
    <row r="96" spans="2:23" x14ac:dyDescent="0.25">
      <c r="R96" s="50"/>
      <c r="T96" s="50"/>
      <c r="W96" s="50"/>
    </row>
    <row r="97" spans="2:23" x14ac:dyDescent="0.25">
      <c r="R97" s="50"/>
      <c r="W97" s="50"/>
    </row>
    <row r="98" spans="2:23" x14ac:dyDescent="0.25">
      <c r="R98" s="50"/>
      <c r="T98" s="50"/>
      <c r="W98" s="50"/>
    </row>
    <row r="99" spans="2:23" x14ac:dyDescent="0.25">
      <c r="R99" s="50"/>
      <c r="T99" s="50"/>
      <c r="W99" s="50"/>
    </row>
    <row r="100" spans="2:23" x14ac:dyDescent="0.25">
      <c r="T100" s="50"/>
    </row>
    <row r="101" spans="2:23" x14ac:dyDescent="0.25">
      <c r="S101" s="41"/>
      <c r="T101" s="50"/>
    </row>
    <row r="102" spans="2:23" x14ac:dyDescent="0.25">
      <c r="T102" s="50"/>
    </row>
    <row r="103" spans="2:23" x14ac:dyDescent="0.25">
      <c r="T103" s="50"/>
    </row>
    <row r="104" spans="2:23" x14ac:dyDescent="0.25">
      <c r="T104" s="50"/>
    </row>
    <row r="105" spans="2:23" x14ac:dyDescent="0.25">
      <c r="T105" s="50"/>
    </row>
    <row r="106" spans="2:23" x14ac:dyDescent="0.25">
      <c r="T106" s="50"/>
    </row>
    <row r="107" spans="2:23" x14ac:dyDescent="0.25">
      <c r="T107" s="50"/>
    </row>
    <row r="108" spans="2:23" x14ac:dyDescent="0.25">
      <c r="T108" s="50"/>
    </row>
    <row r="109" spans="2:23" x14ac:dyDescent="0.25">
      <c r="R109" s="41"/>
      <c r="T109" s="50"/>
      <c r="W109" s="41"/>
    </row>
    <row r="110" spans="2:23" x14ac:dyDescent="0.25">
      <c r="B110" s="41"/>
      <c r="T110" s="50"/>
    </row>
    <row r="111" spans="2:23" x14ac:dyDescent="0.25">
      <c r="T111" s="50"/>
    </row>
    <row r="112" spans="2:23" x14ac:dyDescent="0.25">
      <c r="T112" s="50"/>
    </row>
    <row r="113" spans="2:23" x14ac:dyDescent="0.25">
      <c r="T113" s="50"/>
    </row>
    <row r="114" spans="2:23" x14ac:dyDescent="0.25">
      <c r="T114" s="50"/>
    </row>
    <row r="115" spans="2:23" x14ac:dyDescent="0.25">
      <c r="B115" s="41"/>
      <c r="T115" s="50"/>
    </row>
    <row r="116" spans="2:23" x14ac:dyDescent="0.25">
      <c r="T116" s="50"/>
    </row>
    <row r="117" spans="2:23" x14ac:dyDescent="0.25">
      <c r="T117" s="50"/>
    </row>
    <row r="118" spans="2:23" x14ac:dyDescent="0.25">
      <c r="T118" s="50"/>
    </row>
    <row r="119" spans="2:23" x14ac:dyDescent="0.25">
      <c r="T119" s="50"/>
    </row>
    <row r="120" spans="2:23" x14ac:dyDescent="0.25">
      <c r="T120" s="50"/>
    </row>
    <row r="121" spans="2:23" x14ac:dyDescent="0.25">
      <c r="R121" s="41"/>
      <c r="T121" s="50"/>
      <c r="W121" s="41"/>
    </row>
    <row r="123" spans="2:23" x14ac:dyDescent="0.25">
      <c r="T123" s="50"/>
    </row>
    <row r="124" spans="2:23" x14ac:dyDescent="0.25">
      <c r="T124" s="50"/>
    </row>
    <row r="125" spans="2:23" x14ac:dyDescent="0.25">
      <c r="T125" s="50"/>
    </row>
    <row r="126" spans="2:23" x14ac:dyDescent="0.25">
      <c r="T126" s="50"/>
    </row>
    <row r="127" spans="2:23" x14ac:dyDescent="0.25">
      <c r="T127" s="50"/>
    </row>
    <row r="128" spans="2:23" x14ac:dyDescent="0.25">
      <c r="T128" s="50"/>
    </row>
    <row r="145" spans="18:23" x14ac:dyDescent="0.25">
      <c r="R145" s="41"/>
      <c r="W145" s="41"/>
    </row>
    <row r="168" spans="18:23" x14ac:dyDescent="0.25">
      <c r="R168" s="41"/>
      <c r="W168" s="41"/>
    </row>
    <row r="182" spans="18:23" x14ac:dyDescent="0.25">
      <c r="R182" s="41"/>
      <c r="W182" s="41"/>
    </row>
  </sheetData>
  <autoFilter ref="A5:O55" xr:uid="{7DBCB685-808C-4515-ACE8-89D494FF9ABE}"/>
  <mergeCells count="2">
    <mergeCell ref="A1:J1"/>
    <mergeCell ref="A2:J2"/>
  </mergeCells>
  <phoneticPr fontId="12" type="noConversion"/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2"/>
  <sheetViews>
    <sheetView topLeftCell="A19" workbookViewId="0">
      <selection activeCell="B49" sqref="B49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t="s">
        <v>48</v>
      </c>
      <c r="H1" t="s">
        <v>46</v>
      </c>
      <c r="I1" t="s">
        <v>43</v>
      </c>
    </row>
    <row r="2" spans="1:9" x14ac:dyDescent="0.25">
      <c r="A2" t="s">
        <v>131</v>
      </c>
      <c r="B2" t="s">
        <v>127</v>
      </c>
      <c r="C2" t="s">
        <v>73</v>
      </c>
      <c r="D2" t="s">
        <v>7</v>
      </c>
      <c r="E2" t="s">
        <v>146</v>
      </c>
      <c r="F2" s="56">
        <v>0.09</v>
      </c>
      <c r="G2" s="57">
        <v>47655</v>
      </c>
      <c r="H2" t="s">
        <v>149</v>
      </c>
      <c r="I2" t="s">
        <v>153</v>
      </c>
    </row>
    <row r="3" spans="1:9" x14ac:dyDescent="0.25">
      <c r="A3" t="s">
        <v>42</v>
      </c>
      <c r="B3" t="s">
        <v>67</v>
      </c>
      <c r="C3" t="s">
        <v>68</v>
      </c>
      <c r="D3" t="s">
        <v>7</v>
      </c>
      <c r="E3" t="s">
        <v>146</v>
      </c>
      <c r="F3" s="56">
        <v>7.0000000000000007E-2</v>
      </c>
      <c r="G3" s="57">
        <v>46933</v>
      </c>
      <c r="H3" t="s">
        <v>149</v>
      </c>
      <c r="I3" t="s">
        <v>154</v>
      </c>
    </row>
    <row r="4" spans="1:9" x14ac:dyDescent="0.25">
      <c r="A4" t="s">
        <v>40</v>
      </c>
      <c r="B4" t="s">
        <v>138</v>
      </c>
      <c r="C4" t="s">
        <v>70</v>
      </c>
      <c r="D4" t="s">
        <v>160</v>
      </c>
      <c r="E4" t="s">
        <v>146</v>
      </c>
      <c r="F4" s="56">
        <v>9.7500000000000003E-2</v>
      </c>
      <c r="G4" s="57">
        <v>48127</v>
      </c>
      <c r="H4" t="s">
        <v>149</v>
      </c>
      <c r="I4" t="s">
        <v>154</v>
      </c>
    </row>
    <row r="5" spans="1:9" x14ac:dyDescent="0.25">
      <c r="A5" t="s">
        <v>41</v>
      </c>
      <c r="B5" t="s">
        <v>69</v>
      </c>
      <c r="C5" t="s">
        <v>68</v>
      </c>
      <c r="D5" t="s">
        <v>24</v>
      </c>
      <c r="E5" t="s">
        <v>146</v>
      </c>
      <c r="F5" s="56">
        <v>6.2E-2</v>
      </c>
      <c r="G5" s="57">
        <v>48603</v>
      </c>
      <c r="H5" t="s">
        <v>149</v>
      </c>
      <c r="I5" t="s">
        <v>154</v>
      </c>
    </row>
    <row r="6" spans="1:9" x14ac:dyDescent="0.25">
      <c r="A6" t="s">
        <v>117</v>
      </c>
      <c r="B6" t="s">
        <v>116</v>
      </c>
      <c r="C6" t="s">
        <v>73</v>
      </c>
      <c r="D6" t="s">
        <v>7</v>
      </c>
      <c r="E6" t="s">
        <v>146</v>
      </c>
      <c r="F6" s="56">
        <v>8.5000000000000006E-2</v>
      </c>
      <c r="G6" s="57">
        <v>52072</v>
      </c>
      <c r="H6" t="s">
        <v>149</v>
      </c>
      <c r="I6" t="s">
        <v>154</v>
      </c>
    </row>
    <row r="7" spans="1:9" x14ac:dyDescent="0.25">
      <c r="A7" t="s">
        <v>113</v>
      </c>
      <c r="B7" t="s">
        <v>112</v>
      </c>
      <c r="C7" t="s">
        <v>68</v>
      </c>
      <c r="D7" t="s">
        <v>7</v>
      </c>
      <c r="E7" t="s">
        <v>146</v>
      </c>
      <c r="F7" s="56">
        <v>9.5000000000000001E-2</v>
      </c>
      <c r="G7" s="57">
        <v>48442</v>
      </c>
      <c r="H7" t="s">
        <v>149</v>
      </c>
      <c r="I7" t="s">
        <v>154</v>
      </c>
    </row>
    <row r="8" spans="1:9" x14ac:dyDescent="0.25">
      <c r="A8" t="s">
        <v>19</v>
      </c>
      <c r="B8" t="s">
        <v>90</v>
      </c>
      <c r="C8" t="s">
        <v>73</v>
      </c>
      <c r="D8" t="s">
        <v>7</v>
      </c>
      <c r="E8" t="s">
        <v>146</v>
      </c>
      <c r="F8" s="56">
        <v>0.08</v>
      </c>
      <c r="G8" s="57">
        <v>51804</v>
      </c>
      <c r="H8" t="s">
        <v>149</v>
      </c>
      <c r="I8" t="s">
        <v>154</v>
      </c>
    </row>
    <row r="9" spans="1:9" x14ac:dyDescent="0.25">
      <c r="A9" t="s">
        <v>142</v>
      </c>
      <c r="B9" t="s">
        <v>139</v>
      </c>
      <c r="C9" t="s">
        <v>70</v>
      </c>
      <c r="D9" t="s">
        <v>24</v>
      </c>
      <c r="E9" t="s">
        <v>146</v>
      </c>
      <c r="F9" s="56">
        <v>9.5000000000000001E-2</v>
      </c>
      <c r="G9" s="57">
        <v>51312</v>
      </c>
      <c r="H9" t="s">
        <v>149</v>
      </c>
      <c r="I9" t="s">
        <v>154</v>
      </c>
    </row>
    <row r="10" spans="1:9" x14ac:dyDescent="0.25">
      <c r="A10" t="s">
        <v>132</v>
      </c>
      <c r="B10" t="s">
        <v>128</v>
      </c>
      <c r="C10" t="s">
        <v>70</v>
      </c>
      <c r="D10" t="s">
        <v>99</v>
      </c>
      <c r="E10" t="s">
        <v>146</v>
      </c>
      <c r="F10" s="56">
        <v>0.1</v>
      </c>
      <c r="G10" s="57">
        <v>49734</v>
      </c>
      <c r="H10" t="s">
        <v>149</v>
      </c>
      <c r="I10" t="s">
        <v>153</v>
      </c>
    </row>
    <row r="11" spans="1:9" x14ac:dyDescent="0.25">
      <c r="A11" t="s">
        <v>36</v>
      </c>
      <c r="B11" t="s">
        <v>76</v>
      </c>
      <c r="C11" t="s">
        <v>70</v>
      </c>
      <c r="D11" t="s">
        <v>24</v>
      </c>
      <c r="E11" t="s">
        <v>146</v>
      </c>
      <c r="F11" s="56">
        <v>7.7499999999999999E-2</v>
      </c>
      <c r="G11" s="57">
        <v>47997</v>
      </c>
      <c r="H11" t="s">
        <v>149</v>
      </c>
      <c r="I11" t="s">
        <v>154</v>
      </c>
    </row>
    <row r="12" spans="1:9" x14ac:dyDescent="0.25">
      <c r="A12" t="s">
        <v>35</v>
      </c>
      <c r="B12" t="s">
        <v>77</v>
      </c>
      <c r="C12" t="s">
        <v>70</v>
      </c>
      <c r="D12" t="s">
        <v>24</v>
      </c>
      <c r="E12" t="s">
        <v>146</v>
      </c>
      <c r="F12" s="56">
        <v>7.7499999999999999E-2</v>
      </c>
      <c r="G12" s="57">
        <v>47997</v>
      </c>
      <c r="H12" t="s">
        <v>149</v>
      </c>
      <c r="I12" t="s">
        <v>154</v>
      </c>
    </row>
    <row r="13" spans="1:9" x14ac:dyDescent="0.25">
      <c r="A13" t="s">
        <v>80</v>
      </c>
      <c r="B13" t="s">
        <v>78</v>
      </c>
      <c r="C13" t="s">
        <v>79</v>
      </c>
      <c r="D13" t="s">
        <v>161</v>
      </c>
      <c r="E13" t="s">
        <v>146</v>
      </c>
      <c r="F13" s="56">
        <v>7.0000000000000007E-2</v>
      </c>
      <c r="G13" s="57">
        <v>48380</v>
      </c>
      <c r="H13" t="s">
        <v>149</v>
      </c>
      <c r="I13" t="s">
        <v>154</v>
      </c>
    </row>
    <row r="14" spans="1:9" x14ac:dyDescent="0.25">
      <c r="A14" t="s">
        <v>34</v>
      </c>
      <c r="B14" t="s">
        <v>81</v>
      </c>
      <c r="C14" t="s">
        <v>79</v>
      </c>
      <c r="D14" t="s">
        <v>33</v>
      </c>
      <c r="E14" t="s">
        <v>146</v>
      </c>
      <c r="F14" s="56">
        <v>0.05</v>
      </c>
      <c r="G14" s="57">
        <v>49780</v>
      </c>
      <c r="H14" t="s">
        <v>149</v>
      </c>
      <c r="I14" t="s">
        <v>154</v>
      </c>
    </row>
    <row r="15" spans="1:9" x14ac:dyDescent="0.25">
      <c r="A15" t="s">
        <v>136</v>
      </c>
      <c r="B15" t="s">
        <v>135</v>
      </c>
      <c r="C15" t="s">
        <v>70</v>
      </c>
      <c r="D15" t="s">
        <v>99</v>
      </c>
      <c r="E15" t="s">
        <v>146</v>
      </c>
      <c r="F15" s="56">
        <v>0.1</v>
      </c>
      <c r="G15" s="57">
        <v>50769</v>
      </c>
      <c r="H15" t="s">
        <v>149</v>
      </c>
      <c r="I15" t="s">
        <v>153</v>
      </c>
    </row>
    <row r="16" spans="1:9" x14ac:dyDescent="0.25">
      <c r="A16" t="s">
        <v>32</v>
      </c>
      <c r="B16" t="s">
        <v>82</v>
      </c>
      <c r="C16" t="s">
        <v>68</v>
      </c>
      <c r="D16" t="s">
        <v>24</v>
      </c>
      <c r="E16" t="s">
        <v>146</v>
      </c>
      <c r="F16" s="56">
        <v>0.05</v>
      </c>
      <c r="G16" s="57">
        <v>48414</v>
      </c>
      <c r="H16" t="s">
        <v>149</v>
      </c>
      <c r="I16" t="s">
        <v>154</v>
      </c>
    </row>
    <row r="17" spans="1:9" x14ac:dyDescent="0.25">
      <c r="A17" t="s">
        <v>39</v>
      </c>
      <c r="B17" t="s">
        <v>71</v>
      </c>
      <c r="C17" t="s">
        <v>68</v>
      </c>
      <c r="D17" t="s">
        <v>161</v>
      </c>
      <c r="E17" t="s">
        <v>146</v>
      </c>
      <c r="F17" s="56">
        <v>5.9299999999999999E-2</v>
      </c>
      <c r="G17" s="57">
        <v>51210</v>
      </c>
      <c r="H17" t="s">
        <v>149</v>
      </c>
      <c r="I17" t="s">
        <v>154</v>
      </c>
    </row>
    <row r="18" spans="1:9" x14ac:dyDescent="0.25">
      <c r="A18" t="s">
        <v>88</v>
      </c>
      <c r="B18" t="s">
        <v>87</v>
      </c>
      <c r="C18" t="s">
        <v>70</v>
      </c>
      <c r="D18" t="s">
        <v>24</v>
      </c>
      <c r="E18" t="s">
        <v>146</v>
      </c>
      <c r="F18" s="56">
        <v>9.8500000000000004E-2</v>
      </c>
      <c r="G18" s="57">
        <v>48388</v>
      </c>
      <c r="H18" t="s">
        <v>149</v>
      </c>
      <c r="I18" t="s">
        <v>154</v>
      </c>
    </row>
    <row r="19" spans="1:9" x14ac:dyDescent="0.25">
      <c r="A19" t="s">
        <v>109</v>
      </c>
      <c r="B19" t="s">
        <v>108</v>
      </c>
      <c r="C19" t="s">
        <v>73</v>
      </c>
      <c r="D19" t="s">
        <v>7</v>
      </c>
      <c r="E19" t="s">
        <v>146</v>
      </c>
      <c r="F19" s="56">
        <v>0.09</v>
      </c>
      <c r="G19" s="57">
        <v>46629</v>
      </c>
      <c r="H19" t="s">
        <v>149</v>
      </c>
      <c r="I19" t="s">
        <v>154</v>
      </c>
    </row>
    <row r="20" spans="1:9" x14ac:dyDescent="0.25">
      <c r="A20" t="s">
        <v>107</v>
      </c>
      <c r="B20" t="s">
        <v>106</v>
      </c>
      <c r="C20" t="s">
        <v>73</v>
      </c>
      <c r="D20" t="s">
        <v>7</v>
      </c>
      <c r="E20" t="s">
        <v>146</v>
      </c>
      <c r="F20" s="56">
        <v>8.5000000000000006E-2</v>
      </c>
      <c r="G20" s="57">
        <v>46576</v>
      </c>
      <c r="H20" t="s">
        <v>149</v>
      </c>
      <c r="I20" t="s">
        <v>154</v>
      </c>
    </row>
    <row r="21" spans="1:9" x14ac:dyDescent="0.25">
      <c r="A21" t="s">
        <v>144</v>
      </c>
      <c r="B21" t="s">
        <v>141</v>
      </c>
      <c r="C21" t="s">
        <v>70</v>
      </c>
      <c r="D21" t="s">
        <v>24</v>
      </c>
      <c r="E21" t="s">
        <v>146</v>
      </c>
      <c r="F21" s="56">
        <v>9.5000000000000001E-2</v>
      </c>
      <c r="G21" s="57">
        <v>51312</v>
      </c>
      <c r="H21" t="s">
        <v>149</v>
      </c>
      <c r="I21" t="s">
        <v>153</v>
      </c>
    </row>
    <row r="22" spans="1:9" x14ac:dyDescent="0.25">
      <c r="A22" t="s">
        <v>27</v>
      </c>
      <c r="B22" t="s">
        <v>89</v>
      </c>
      <c r="C22" t="s">
        <v>79</v>
      </c>
      <c r="D22" t="s">
        <v>7</v>
      </c>
      <c r="E22" t="s">
        <v>146</v>
      </c>
      <c r="F22" s="56">
        <v>5.9426E-2</v>
      </c>
      <c r="G22" s="57">
        <v>46068</v>
      </c>
      <c r="H22" t="s">
        <v>149</v>
      </c>
      <c r="I22" t="s">
        <v>154</v>
      </c>
    </row>
    <row r="23" spans="1:9" x14ac:dyDescent="0.25">
      <c r="A23" t="s">
        <v>30</v>
      </c>
      <c r="B23" t="s">
        <v>83</v>
      </c>
      <c r="C23" t="s">
        <v>84</v>
      </c>
      <c r="D23" t="s">
        <v>7</v>
      </c>
      <c r="E23" t="s">
        <v>146</v>
      </c>
      <c r="F23" s="56">
        <v>0.12</v>
      </c>
      <c r="G23" s="57">
        <v>46251</v>
      </c>
      <c r="H23" t="s">
        <v>149</v>
      </c>
      <c r="I23" t="s">
        <v>154</v>
      </c>
    </row>
    <row r="24" spans="1:9" x14ac:dyDescent="0.25">
      <c r="A24" t="s">
        <v>119</v>
      </c>
      <c r="B24" t="s">
        <v>118</v>
      </c>
      <c r="C24" t="s">
        <v>70</v>
      </c>
      <c r="D24" t="s">
        <v>99</v>
      </c>
      <c r="E24" t="s">
        <v>146</v>
      </c>
      <c r="F24" s="56">
        <v>9.1700000000000004E-2</v>
      </c>
      <c r="G24" s="57">
        <v>49856</v>
      </c>
      <c r="H24" t="s">
        <v>149</v>
      </c>
      <c r="I24" t="s">
        <v>154</v>
      </c>
    </row>
    <row r="25" spans="1:9" x14ac:dyDescent="0.25">
      <c r="A25" t="s">
        <v>28</v>
      </c>
      <c r="B25" t="s">
        <v>86</v>
      </c>
      <c r="C25" t="s">
        <v>79</v>
      </c>
      <c r="D25" t="s">
        <v>161</v>
      </c>
      <c r="E25" t="s">
        <v>146</v>
      </c>
      <c r="F25" s="56">
        <v>5.2499999999999998E-2</v>
      </c>
      <c r="G25" s="57">
        <v>48113</v>
      </c>
      <c r="H25" t="s">
        <v>149</v>
      </c>
      <c r="I25" t="s">
        <v>154</v>
      </c>
    </row>
    <row r="26" spans="1:9" x14ac:dyDescent="0.25">
      <c r="A26" t="s">
        <v>20</v>
      </c>
      <c r="B26" t="s">
        <v>91</v>
      </c>
      <c r="C26" t="s">
        <v>73</v>
      </c>
      <c r="D26" t="s">
        <v>7</v>
      </c>
      <c r="E26" t="s">
        <v>146</v>
      </c>
      <c r="F26" s="56">
        <v>0.09</v>
      </c>
      <c r="G26" s="57">
        <v>46294</v>
      </c>
      <c r="H26" t="s">
        <v>149</v>
      </c>
      <c r="I26" t="s">
        <v>154</v>
      </c>
    </row>
    <row r="27" spans="1:9" x14ac:dyDescent="0.25">
      <c r="A27" t="s">
        <v>25</v>
      </c>
      <c r="B27" t="s">
        <v>92</v>
      </c>
      <c r="C27" t="s">
        <v>79</v>
      </c>
      <c r="D27" t="s">
        <v>24</v>
      </c>
      <c r="E27" t="s">
        <v>146</v>
      </c>
      <c r="F27" s="56">
        <v>5.0599999999999999E-2</v>
      </c>
      <c r="G27" s="57">
        <v>49293</v>
      </c>
      <c r="H27" t="s">
        <v>149</v>
      </c>
      <c r="I27" t="s">
        <v>154</v>
      </c>
    </row>
    <row r="28" spans="1:9" x14ac:dyDescent="0.25">
      <c r="A28" t="s">
        <v>37</v>
      </c>
      <c r="B28" t="s">
        <v>74</v>
      </c>
      <c r="C28" t="s">
        <v>73</v>
      </c>
      <c r="D28" t="s">
        <v>7</v>
      </c>
      <c r="E28" t="s">
        <v>146</v>
      </c>
      <c r="F28" s="56">
        <v>7.85E-2</v>
      </c>
      <c r="G28" s="57">
        <v>45988</v>
      </c>
      <c r="H28" t="s">
        <v>149</v>
      </c>
      <c r="I28" t="s">
        <v>154</v>
      </c>
    </row>
    <row r="29" spans="1:9" x14ac:dyDescent="0.25">
      <c r="A29" t="s">
        <v>38</v>
      </c>
      <c r="B29" t="s">
        <v>72</v>
      </c>
      <c r="C29" t="s">
        <v>73</v>
      </c>
      <c r="D29" t="s">
        <v>7</v>
      </c>
      <c r="E29" t="s">
        <v>146</v>
      </c>
      <c r="F29" s="56">
        <v>7.85E-2</v>
      </c>
      <c r="G29" s="57">
        <v>45988</v>
      </c>
      <c r="H29" t="s">
        <v>149</v>
      </c>
      <c r="I29" t="s">
        <v>154</v>
      </c>
    </row>
    <row r="30" spans="1:9" x14ac:dyDescent="0.25">
      <c r="A30" t="s">
        <v>115</v>
      </c>
      <c r="B30" t="s">
        <v>114</v>
      </c>
      <c r="C30" t="s">
        <v>70</v>
      </c>
      <c r="D30" t="s">
        <v>161</v>
      </c>
      <c r="E30" t="s">
        <v>146</v>
      </c>
      <c r="F30" s="56">
        <v>6.5000000000000002E-2</v>
      </c>
      <c r="G30" s="57">
        <v>48199</v>
      </c>
      <c r="H30" t="s">
        <v>149</v>
      </c>
      <c r="I30" t="s">
        <v>154</v>
      </c>
    </row>
    <row r="31" spans="1:9" x14ac:dyDescent="0.25">
      <c r="A31" t="s">
        <v>29</v>
      </c>
      <c r="B31" t="s">
        <v>85</v>
      </c>
      <c r="C31" t="s">
        <v>79</v>
      </c>
      <c r="D31" t="s">
        <v>33</v>
      </c>
      <c r="E31" t="s">
        <v>146</v>
      </c>
      <c r="F31" s="56">
        <v>5.5E-2</v>
      </c>
      <c r="G31" s="57">
        <v>49558</v>
      </c>
      <c r="H31" t="s">
        <v>149</v>
      </c>
      <c r="I31" t="s">
        <v>154</v>
      </c>
    </row>
    <row r="32" spans="1:9" x14ac:dyDescent="0.25">
      <c r="A32" t="s">
        <v>122</v>
      </c>
      <c r="B32" t="s">
        <v>121</v>
      </c>
      <c r="C32" t="s">
        <v>73</v>
      </c>
      <c r="D32" t="s">
        <v>7</v>
      </c>
      <c r="E32" t="s">
        <v>146</v>
      </c>
      <c r="F32" s="56">
        <v>0.09</v>
      </c>
      <c r="G32" s="57" t="s">
        <v>123</v>
      </c>
      <c r="H32" t="s">
        <v>149</v>
      </c>
      <c r="I32" t="s">
        <v>154</v>
      </c>
    </row>
    <row r="33" spans="1:9" x14ac:dyDescent="0.25">
      <c r="A33" t="s">
        <v>18</v>
      </c>
      <c r="B33" t="s">
        <v>95</v>
      </c>
      <c r="C33" t="s">
        <v>70</v>
      </c>
      <c r="D33" t="s">
        <v>161</v>
      </c>
      <c r="E33" t="s">
        <v>146</v>
      </c>
      <c r="F33" s="56">
        <v>0.06</v>
      </c>
      <c r="G33" s="57">
        <v>49334</v>
      </c>
      <c r="H33" t="s">
        <v>149</v>
      </c>
      <c r="I33" t="s">
        <v>154</v>
      </c>
    </row>
    <row r="34" spans="1:9" x14ac:dyDescent="0.25">
      <c r="A34" t="s">
        <v>17</v>
      </c>
      <c r="B34" t="s">
        <v>96</v>
      </c>
      <c r="C34" t="s">
        <v>70</v>
      </c>
      <c r="D34" t="s">
        <v>161</v>
      </c>
      <c r="E34" t="s">
        <v>146</v>
      </c>
      <c r="F34" s="56">
        <v>0.06</v>
      </c>
      <c r="G34" s="57">
        <v>49334</v>
      </c>
      <c r="H34" t="s">
        <v>149</v>
      </c>
      <c r="I34" t="s">
        <v>154</v>
      </c>
    </row>
    <row r="35" spans="1:9" x14ac:dyDescent="0.25">
      <c r="A35" t="s">
        <v>21</v>
      </c>
      <c r="B35" t="s">
        <v>129</v>
      </c>
      <c r="C35" t="s">
        <v>75</v>
      </c>
      <c r="D35" t="s">
        <v>99</v>
      </c>
      <c r="E35" t="s">
        <v>146</v>
      </c>
      <c r="F35" s="56">
        <v>0.09</v>
      </c>
      <c r="G35" s="57">
        <v>49751</v>
      </c>
      <c r="H35" t="s">
        <v>149</v>
      </c>
      <c r="I35" t="s">
        <v>154</v>
      </c>
    </row>
    <row r="36" spans="1:9" x14ac:dyDescent="0.25">
      <c r="A36" t="s">
        <v>14</v>
      </c>
      <c r="B36" t="s">
        <v>100</v>
      </c>
      <c r="C36" t="s">
        <v>68</v>
      </c>
      <c r="D36" t="s">
        <v>161</v>
      </c>
      <c r="E36" t="s">
        <v>146</v>
      </c>
      <c r="F36" s="56">
        <v>8.2000000000000003E-2</v>
      </c>
      <c r="G36" s="57">
        <v>48841</v>
      </c>
      <c r="H36" t="s">
        <v>149</v>
      </c>
      <c r="I36" t="s">
        <v>154</v>
      </c>
    </row>
    <row r="37" spans="1:9" x14ac:dyDescent="0.25">
      <c r="A37" t="s">
        <v>8</v>
      </c>
      <c r="B37" t="s">
        <v>105</v>
      </c>
      <c r="C37" t="s">
        <v>68</v>
      </c>
      <c r="D37" t="s">
        <v>161</v>
      </c>
      <c r="E37" t="s">
        <v>146</v>
      </c>
      <c r="F37" s="56">
        <v>8.2000000000000003E-2</v>
      </c>
      <c r="G37" s="57">
        <v>48841</v>
      </c>
      <c r="H37" t="s">
        <v>149</v>
      </c>
      <c r="I37" t="s">
        <v>154</v>
      </c>
    </row>
    <row r="38" spans="1:9" x14ac:dyDescent="0.25">
      <c r="A38" t="s">
        <v>151</v>
      </c>
      <c r="B38" t="s">
        <v>150</v>
      </c>
      <c r="C38" t="s">
        <v>70</v>
      </c>
      <c r="D38" t="s">
        <v>99</v>
      </c>
      <c r="E38" t="s">
        <v>146</v>
      </c>
      <c r="F38" s="56">
        <v>8.9200000000000002E-2</v>
      </c>
      <c r="G38" s="57" t="s">
        <v>152</v>
      </c>
      <c r="H38" t="s">
        <v>149</v>
      </c>
      <c r="I38" t="s">
        <v>154</v>
      </c>
    </row>
    <row r="39" spans="1:9" x14ac:dyDescent="0.25">
      <c r="A39" t="s">
        <v>15</v>
      </c>
      <c r="B39" t="s">
        <v>97</v>
      </c>
      <c r="C39" t="s">
        <v>73</v>
      </c>
      <c r="D39" t="s">
        <v>161</v>
      </c>
      <c r="E39" t="s">
        <v>146</v>
      </c>
      <c r="F39" s="56">
        <v>5.7500000000000002E-2</v>
      </c>
      <c r="G39" s="57">
        <v>49439</v>
      </c>
      <c r="H39" t="s">
        <v>149</v>
      </c>
      <c r="I39" t="s">
        <v>154</v>
      </c>
    </row>
    <row r="40" spans="1:9" x14ac:dyDescent="0.25">
      <c r="A40" t="s">
        <v>16</v>
      </c>
      <c r="B40" t="s">
        <v>98</v>
      </c>
      <c r="C40" t="s">
        <v>68</v>
      </c>
      <c r="D40" t="s">
        <v>162</v>
      </c>
      <c r="E40" t="s">
        <v>147</v>
      </c>
      <c r="F40" s="56">
        <v>7.0000000000000007E-2</v>
      </c>
      <c r="G40" s="57">
        <v>47918</v>
      </c>
      <c r="H40" t="s">
        <v>149</v>
      </c>
      <c r="I40" t="s">
        <v>154</v>
      </c>
    </row>
    <row r="41" spans="1:9" x14ac:dyDescent="0.25">
      <c r="A41" t="s">
        <v>11</v>
      </c>
      <c r="B41" t="s">
        <v>130</v>
      </c>
      <c r="C41" t="s">
        <v>73</v>
      </c>
      <c r="D41" t="s">
        <v>33</v>
      </c>
      <c r="E41" t="s">
        <v>146</v>
      </c>
      <c r="F41" s="56">
        <v>9.5000000000000001E-2</v>
      </c>
      <c r="G41" s="57">
        <v>46483</v>
      </c>
      <c r="H41" t="s">
        <v>149</v>
      </c>
      <c r="I41" t="s">
        <v>154</v>
      </c>
    </row>
    <row r="42" spans="1:9" x14ac:dyDescent="0.25">
      <c r="A42" t="s">
        <v>13</v>
      </c>
      <c r="B42" t="s">
        <v>101</v>
      </c>
      <c r="C42" t="s">
        <v>73</v>
      </c>
      <c r="D42" t="s">
        <v>7</v>
      </c>
      <c r="E42" t="s">
        <v>146</v>
      </c>
      <c r="F42" s="56">
        <v>0.1</v>
      </c>
      <c r="G42" s="57">
        <v>45806</v>
      </c>
      <c r="H42" t="s">
        <v>149</v>
      </c>
      <c r="I42" t="s">
        <v>154</v>
      </c>
    </row>
    <row r="43" spans="1:9" x14ac:dyDescent="0.25">
      <c r="A43" t="s">
        <v>143</v>
      </c>
      <c r="B43" t="s">
        <v>140</v>
      </c>
      <c r="C43" t="s">
        <v>84</v>
      </c>
      <c r="D43" t="s">
        <v>7</v>
      </c>
      <c r="E43" t="s">
        <v>146</v>
      </c>
      <c r="F43" s="56">
        <v>0.1</v>
      </c>
      <c r="G43" s="57">
        <v>47786</v>
      </c>
      <c r="H43" t="s">
        <v>149</v>
      </c>
      <c r="I43" t="s">
        <v>153</v>
      </c>
    </row>
    <row r="44" spans="1:9" x14ac:dyDescent="0.25">
      <c r="A44" t="s">
        <v>158</v>
      </c>
      <c r="B44" t="s">
        <v>155</v>
      </c>
      <c r="C44" t="s">
        <v>73</v>
      </c>
      <c r="D44" t="s">
        <v>7</v>
      </c>
      <c r="E44" t="s">
        <v>146</v>
      </c>
      <c r="F44" s="56">
        <v>8.5000000000000006E-2</v>
      </c>
      <c r="G44" s="57">
        <v>52072</v>
      </c>
      <c r="H44" t="s">
        <v>149</v>
      </c>
      <c r="I44" t="s">
        <v>154</v>
      </c>
    </row>
    <row r="45" spans="1:9" x14ac:dyDescent="0.25">
      <c r="A45" t="s">
        <v>22</v>
      </c>
      <c r="B45" t="s">
        <v>94</v>
      </c>
      <c r="C45" t="s">
        <v>73</v>
      </c>
      <c r="D45" t="s">
        <v>7</v>
      </c>
      <c r="E45" t="s">
        <v>146</v>
      </c>
      <c r="F45" s="56">
        <v>8.5000000000000006E-2</v>
      </c>
      <c r="G45" s="57" t="s">
        <v>110</v>
      </c>
      <c r="H45" t="s">
        <v>149</v>
      </c>
      <c r="I45" t="s">
        <v>154</v>
      </c>
    </row>
    <row r="46" spans="1:9" x14ac:dyDescent="0.25">
      <c r="A46" t="s">
        <v>23</v>
      </c>
      <c r="B46" t="s">
        <v>93</v>
      </c>
      <c r="C46" t="s">
        <v>73</v>
      </c>
      <c r="D46" t="s">
        <v>7</v>
      </c>
      <c r="E46" t="s">
        <v>146</v>
      </c>
      <c r="F46" s="56">
        <v>8.5000000000000006E-2</v>
      </c>
      <c r="G46" s="57" t="s">
        <v>110</v>
      </c>
      <c r="H46" t="s">
        <v>149</v>
      </c>
      <c r="I46" t="s">
        <v>154</v>
      </c>
    </row>
    <row r="47" spans="1:9" x14ac:dyDescent="0.25">
      <c r="A47" t="s">
        <v>10</v>
      </c>
      <c r="B47" t="s">
        <v>102</v>
      </c>
      <c r="C47" t="s">
        <v>103</v>
      </c>
      <c r="D47" t="s">
        <v>161</v>
      </c>
      <c r="E47" t="s">
        <v>146</v>
      </c>
      <c r="F47" s="56">
        <v>0.05</v>
      </c>
      <c r="G47" s="57">
        <v>49500</v>
      </c>
      <c r="H47" t="s">
        <v>149</v>
      </c>
      <c r="I47" t="s">
        <v>154</v>
      </c>
    </row>
    <row r="48" spans="1:9" x14ac:dyDescent="0.25">
      <c r="A48" t="s">
        <v>120</v>
      </c>
      <c r="B48" t="s">
        <v>156</v>
      </c>
      <c r="C48" t="s">
        <v>73</v>
      </c>
      <c r="D48" t="s">
        <v>7</v>
      </c>
      <c r="E48" t="s">
        <v>146</v>
      </c>
      <c r="F48" s="56">
        <v>0.09</v>
      </c>
      <c r="G48" s="57">
        <v>45996</v>
      </c>
      <c r="H48" t="s">
        <v>149</v>
      </c>
      <c r="I48" t="s">
        <v>154</v>
      </c>
    </row>
    <row r="49" spans="1:9" x14ac:dyDescent="0.25">
      <c r="A49" t="s">
        <v>12</v>
      </c>
      <c r="B49" t="s">
        <v>104</v>
      </c>
      <c r="C49" t="s">
        <v>73</v>
      </c>
      <c r="D49" t="s">
        <v>7</v>
      </c>
      <c r="E49" t="s">
        <v>146</v>
      </c>
      <c r="F49" s="56">
        <v>8.5000000000000006E-2</v>
      </c>
      <c r="G49" s="57">
        <v>45960</v>
      </c>
      <c r="H49" t="s">
        <v>149</v>
      </c>
      <c r="I49" t="s">
        <v>154</v>
      </c>
    </row>
    <row r="50" spans="1:9" x14ac:dyDescent="0.25">
      <c r="A50" t="s">
        <v>159</v>
      </c>
      <c r="B50" t="s">
        <v>157</v>
      </c>
      <c r="C50" t="s">
        <v>73</v>
      </c>
      <c r="D50" t="s">
        <v>7</v>
      </c>
      <c r="E50" t="s">
        <v>146</v>
      </c>
      <c r="F50" s="56">
        <v>0.09</v>
      </c>
      <c r="G50" s="57">
        <v>45996</v>
      </c>
      <c r="H50" t="s">
        <v>149</v>
      </c>
      <c r="I50" t="s">
        <v>154</v>
      </c>
    </row>
    <row r="51" spans="1:9" x14ac:dyDescent="0.25">
      <c r="A51" t="s">
        <v>148</v>
      </c>
      <c r="B51" t="s">
        <v>145</v>
      </c>
      <c r="C51" t="s">
        <v>73</v>
      </c>
      <c r="D51" t="s">
        <v>7</v>
      </c>
      <c r="E51" t="s">
        <v>146</v>
      </c>
      <c r="F51" s="56">
        <v>0.09</v>
      </c>
      <c r="G51" s="57" t="s">
        <v>123</v>
      </c>
      <c r="H51" t="s">
        <v>149</v>
      </c>
      <c r="I51" t="s">
        <v>153</v>
      </c>
    </row>
    <row r="52" spans="1:9" x14ac:dyDescent="0.25">
      <c r="A52" t="s">
        <v>163</v>
      </c>
      <c r="B52" t="s">
        <v>164</v>
      </c>
      <c r="C52" t="s">
        <v>73</v>
      </c>
      <c r="D52" t="s">
        <v>7</v>
      </c>
      <c r="E52" t="s">
        <v>146</v>
      </c>
      <c r="F52" s="56">
        <v>0.09</v>
      </c>
      <c r="G52" t="s">
        <v>123</v>
      </c>
      <c r="H52" t="s">
        <v>149</v>
      </c>
      <c r="I52" t="s">
        <v>154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Props1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Ferrari Tabet</cp:lastModifiedBy>
  <dcterms:created xsi:type="dcterms:W3CDTF">2022-05-31T19:55:04Z</dcterms:created>
  <dcterms:modified xsi:type="dcterms:W3CDTF">2024-07-15T17:16:39Z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